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CDFClubs 2022_2023\"/>
    </mc:Choice>
  </mc:AlternateContent>
  <xr:revisionPtr revIDLastSave="0" documentId="8_{6BB7BE2D-2C35-47E3-98BE-3FE7DB40EBFD}" xr6:coauthVersionLast="47" xr6:coauthVersionMax="47" xr10:uidLastSave="{00000000-0000-0000-0000-000000000000}"/>
  <bookViews>
    <workbookView xWindow="-108" yWindow="-108" windowWidth="23256" windowHeight="12576" tabRatio="960" activeTab="4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36" l="1"/>
  <c r="N71" i="36"/>
  <c r="H71" i="36"/>
  <c r="N57" i="36"/>
  <c r="H57" i="36"/>
  <c r="S41" i="36"/>
  <c r="M41" i="36"/>
  <c r="S25" i="36"/>
  <c r="M25" i="36"/>
  <c r="C41" i="36"/>
  <c r="I25" i="36"/>
  <c r="C25" i="36"/>
  <c r="I11" i="36"/>
  <c r="C11" i="36"/>
  <c r="M11" i="36"/>
  <c r="S11" i="36"/>
  <c r="I9" i="37" l="1"/>
  <c r="I8" i="37"/>
  <c r="O8" i="37"/>
  <c r="U8" i="37"/>
  <c r="AA8" i="37"/>
  <c r="AG8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4" i="37" l="1"/>
  <c r="AI23" i="37"/>
  <c r="AL19" i="37"/>
  <c r="AI21" i="37"/>
  <c r="AL23" i="37"/>
  <c r="AI25" i="37"/>
  <c r="AL13" i="37"/>
  <c r="AI20" i="37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L15" i="32" l="1"/>
  <c r="H35" i="36"/>
  <c r="L14" i="32"/>
  <c r="M35" i="36"/>
  <c r="M51" i="36" s="1"/>
  <c r="L13" i="32"/>
  <c r="C35" i="36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E9" i="32" l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D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H38" i="36" l="1"/>
  <c r="C39" i="36"/>
  <c r="C40" i="36"/>
  <c r="H40" i="36"/>
  <c r="M38" i="36"/>
  <c r="M54" i="36" s="1"/>
  <c r="M36" i="36"/>
  <c r="M52" i="36" s="1"/>
  <c r="H37" i="36"/>
  <c r="M37" i="36"/>
  <c r="C38" i="36"/>
  <c r="H39" i="36"/>
  <c r="C36" i="36"/>
  <c r="M39" i="36"/>
  <c r="M55" i="36" s="1"/>
  <c r="D15" i="32"/>
  <c r="B15" i="32"/>
  <c r="F15" i="32" s="1"/>
  <c r="B14" i="32"/>
  <c r="F14" i="32" s="1"/>
  <c r="D14" i="32"/>
  <c r="M56" i="36"/>
  <c r="M70" i="36"/>
  <c r="B13" i="32"/>
  <c r="F13" i="32" s="1"/>
  <c r="D13" i="32"/>
  <c r="C37" i="36"/>
  <c r="H36" i="36"/>
  <c r="D12" i="32"/>
  <c r="B12" i="32"/>
  <c r="F12" i="32" s="1"/>
  <c r="M69" i="36" l="1"/>
  <c r="M66" i="36"/>
  <c r="M68" i="36"/>
  <c r="M67" i="36"/>
  <c r="M53" i="36"/>
</calcChain>
</file>

<file path=xl/sharedStrings.xml><?xml version="1.0" encoding="utf-8"?>
<sst xmlns="http://schemas.openxmlformats.org/spreadsheetml/2006/main" count="257" uniqueCount="116">
  <si>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</si>
  <si>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</si>
  <si>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</si>
  <si>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</si>
  <si>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</si>
  <si>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</si>
  <si>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</si>
  <si>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</si>
  <si>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</si>
  <si>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</si>
  <si>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</si>
  <si>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</si>
  <si>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</si>
  <si>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</si>
  <si>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</si>
  <si>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</si>
  <si>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</si>
  <si>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</si>
  <si>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</si>
  <si>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</si>
  <si>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</si>
  <si>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</si>
  <si>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</si>
  <si>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</si>
  <si>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</si>
  <si>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</si>
  <si>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</si>
  <si>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</si>
  <si>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</si>
  <si>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</si>
  <si>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</si>
  <si>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</si>
  <si>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</si>
  <si>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</si>
  <si>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</si>
  <si>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</si>
  <si>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</si>
  <si>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</si>
  <si>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</si>
  <si>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</si>
  <si>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</si>
  <si>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</si>
  <si>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</si>
  <si>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</si>
  <si>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</si>
  <si>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</si>
  <si>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</si>
  <si>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</si>
  <si>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</si>
  <si>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</si>
  <si>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</si>
  <si>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</si>
  <si>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</si>
  <si>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</si>
  <si>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</si>
  <si>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</si>
  <si>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TSLS à Andrézieux-Bouthéon</t>
  </si>
  <si>
    <t>2022/2023</t>
  </si>
  <si>
    <t>CARABINE</t>
  </si>
  <si>
    <t>LYONNAIS</t>
  </si>
  <si>
    <t>René FORSTER</t>
  </si>
  <si>
    <t>06 78 80 87 26</t>
  </si>
  <si>
    <t>forster.rene@orange.fr</t>
  </si>
  <si>
    <t>CTB</t>
  </si>
  <si>
    <t>DUPERRAI LAINE Eliott</t>
  </si>
  <si>
    <t>RAUNIER Aurore</t>
  </si>
  <si>
    <t>KICHENAMA Raphaël</t>
  </si>
  <si>
    <t>STBB</t>
  </si>
  <si>
    <t>MARAIS Alexis</t>
  </si>
  <si>
    <t>DHONT Hugo</t>
  </si>
  <si>
    <t>LACROIX Lauriane</t>
  </si>
  <si>
    <t>VENET Léna</t>
  </si>
  <si>
    <t>ALAT</t>
  </si>
  <si>
    <t>FORGE Mathys</t>
  </si>
  <si>
    <t>MAZILLE Axelle</t>
  </si>
  <si>
    <t>CR</t>
  </si>
  <si>
    <t>POITOUX Jean-Marc</t>
  </si>
  <si>
    <t>CTPS</t>
  </si>
  <si>
    <t>DUQUENOIS Christophe</t>
  </si>
  <si>
    <t>DIAS Erwann</t>
  </si>
  <si>
    <t>SEST</t>
  </si>
  <si>
    <t>COTTEL Agnès</t>
  </si>
  <si>
    <t>STSM</t>
  </si>
  <si>
    <t>POPIER Théo</t>
  </si>
  <si>
    <t>JACQUETIN Olivier</t>
  </si>
  <si>
    <t>LAUNAY Aloïs</t>
  </si>
  <si>
    <t>GUYON Loïc</t>
  </si>
  <si>
    <t>NICOLLET Léa</t>
  </si>
  <si>
    <t>BEAL Bruno</t>
  </si>
  <si>
    <t>PÈRE Laurent</t>
  </si>
  <si>
    <t>PACORET Hugo</t>
  </si>
  <si>
    <t>BERLANDE Julianne</t>
  </si>
  <si>
    <t>DURAND Juliette</t>
  </si>
  <si>
    <t>MAYOT Tiphaine</t>
  </si>
  <si>
    <t>DURIEUX Patrick</t>
  </si>
  <si>
    <t>STEINER Julien</t>
  </si>
  <si>
    <t>CHAIZE Arthur</t>
  </si>
  <si>
    <t>QUINSON Françoise</t>
  </si>
  <si>
    <t>DELAYE Olivier</t>
  </si>
  <si>
    <t>CORREAUD André</t>
  </si>
  <si>
    <t>DESCHANEL Timéo</t>
  </si>
  <si>
    <t>LEONARD Matias</t>
  </si>
  <si>
    <t>USO</t>
  </si>
  <si>
    <t>BEAUME Didier</t>
  </si>
  <si>
    <t>BEAUME Célia</t>
  </si>
  <si>
    <t>LANDIM MONTEIRO Frédérique</t>
  </si>
  <si>
    <t>VEIL Guillaume</t>
  </si>
  <si>
    <t>VEIL Amaury</t>
  </si>
  <si>
    <t>VENET Eric</t>
  </si>
  <si>
    <t>JOUSSERAND-MORNAY Alice</t>
  </si>
  <si>
    <t>Steiner Julien</t>
  </si>
  <si>
    <t>BERLANDE juliane</t>
  </si>
  <si>
    <t>JOUSSERAND MORNAY Alice</t>
  </si>
  <si>
    <t>DUPPERAY LAINE Eliot</t>
  </si>
  <si>
    <t>BONNELLI Angéline</t>
  </si>
  <si>
    <t>BONELLI Angéline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</si>
</sst>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66" fillId="11" borderId="56" xfId="0" applyFont="1" applyFill="1" applyBorder="1" applyAlignment="1" applyProtection="1">
      <alignment horizontal="center" vertical="center"/>
      <protection locked="0"/>
    </xf>
    <xf numFmtId="0" fontId="66" fillId="11" borderId="48" xfId="0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7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33</xdr:row>
      <xdr:rowOff>457200</xdr:rowOff>
    </xdr:from>
    <xdr:to>
      <xdr:col>8</xdr:col>
      <xdr:colOff>147320</xdr:colOff>
      <xdr:row>33</xdr:row>
      <xdr:rowOff>457200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98220" y="10424160"/>
          <a:ext cx="460502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opLeftCell="A10" workbookViewId="0">
      <selection activeCell="B8" sqref="B8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81640625" style="62" customWidth="1"/>
    <col min="4" max="4" width="2.6328125" style="62" customWidth="1"/>
    <col min="5" max="16384" width="10.6328125" style="62"/>
  </cols>
  <sheetData>
    <row r="1" spans="1:3" ht="97.05" customHeight="1">
      <c r="A1" s="198" t="s">
        <v>46</v>
      </c>
      <c r="B1" s="199"/>
      <c r="C1" s="199"/>
    </row>
    <row r="2" spans="1:3" ht="25.05" customHeight="1">
      <c r="A2" s="200"/>
      <c r="B2" s="200"/>
      <c r="C2" s="200"/>
    </row>
    <row r="3" spans="1:3" ht="25.05" customHeight="1">
      <c r="A3" s="203" t="s">
        <v>22</v>
      </c>
      <c r="B3" s="203"/>
      <c r="C3" s="203"/>
    </row>
    <row r="4" spans="1:3" ht="25.05" customHeight="1">
      <c r="A4" s="63" t="s">
        <v>27</v>
      </c>
      <c r="B4" s="48">
        <v>43492</v>
      </c>
      <c r="C4" s="64"/>
    </row>
    <row r="5" spans="1:3" ht="25.05" customHeight="1">
      <c r="A5" s="63" t="s">
        <v>28</v>
      </c>
      <c r="B5" s="6" t="s">
        <v>56</v>
      </c>
      <c r="C5" s="64"/>
    </row>
    <row r="6" spans="1:3" ht="25.05" customHeight="1">
      <c r="A6" s="63" t="s">
        <v>25</v>
      </c>
      <c r="B6" s="33" t="s">
        <v>57</v>
      </c>
      <c r="C6" s="64"/>
    </row>
    <row r="7" spans="1:3" ht="25.05" customHeight="1">
      <c r="A7" s="63" t="s">
        <v>6</v>
      </c>
      <c r="B7" s="6" t="s">
        <v>58</v>
      </c>
      <c r="C7" s="64" t="s">
        <v>24</v>
      </c>
    </row>
    <row r="8" spans="1:3" ht="25.05" customHeight="1">
      <c r="A8" s="63" t="s">
        <v>17</v>
      </c>
      <c r="B8" s="61">
        <v>8</v>
      </c>
      <c r="C8" s="64"/>
    </row>
    <row r="9" spans="1:3" ht="25.05" customHeight="1">
      <c r="A9" s="5" t="s">
        <v>23</v>
      </c>
      <c r="B9" s="42" t="s">
        <v>59</v>
      </c>
      <c r="C9" s="64" t="s">
        <v>19</v>
      </c>
    </row>
    <row r="10" spans="1:3" ht="25.05" customHeight="1">
      <c r="A10" s="65"/>
      <c r="B10" s="65"/>
      <c r="C10" s="66"/>
    </row>
    <row r="11" spans="1:3" ht="25.05" customHeight="1">
      <c r="A11" s="203" t="s">
        <v>13</v>
      </c>
      <c r="B11" s="203"/>
      <c r="C11" s="203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1.95" customHeight="1">
      <c r="A16" s="201" t="s">
        <v>18</v>
      </c>
      <c r="B16" s="201"/>
      <c r="C16" s="201"/>
    </row>
    <row r="17" spans="1:3" ht="15" customHeight="1">
      <c r="A17" s="204" t="s">
        <v>48</v>
      </c>
      <c r="B17" s="204"/>
      <c r="C17" s="66"/>
    </row>
    <row r="18" spans="1:3" ht="15" customHeight="1">
      <c r="A18" s="205" t="s">
        <v>21</v>
      </c>
      <c r="B18" s="204"/>
      <c r="C18" s="7"/>
    </row>
    <row r="19" spans="1:3" ht="15" customHeight="1">
      <c r="A19" s="202" t="s">
        <v>0</v>
      </c>
      <c r="B19" s="202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W7" activePane="bottomRight" state="frozenSplit"/>
      <selection pane="topRight" activeCell="E1" sqref="E1"/>
      <selection pane="bottomLeft" activeCell="A3" sqref="A3"/>
      <selection pane="bottomRight" sqref="A1:AC2"/>
    </sheetView>
  </sheetViews>
  <sheetFormatPr baseColWidth="10" defaultColWidth="10.6328125" defaultRowHeight="45" outlineLevelCol="1"/>
  <cols>
    <col min="1" max="1" width="31.1796875" style="102" bestFit="1" customWidth="1"/>
    <col min="2" max="2" width="35.81640625" style="103" customWidth="1" outlineLevel="1"/>
    <col min="3" max="3" width="64" style="104" bestFit="1" customWidth="1"/>
    <col min="4" max="4" width="33.6328125" style="104" customWidth="1"/>
    <col min="5" max="5" width="100.36328125" style="104" customWidth="1"/>
    <col min="6" max="8" width="20.1796875" style="70" customWidth="1"/>
    <col min="9" max="9" width="27.1796875" style="70" customWidth="1"/>
    <col min="10" max="10" width="10.81640625" style="70" hidden="1" customWidth="1"/>
    <col min="11" max="11" width="100.36328125" style="104" customWidth="1"/>
    <col min="12" max="14" width="20.1796875" style="70" customWidth="1"/>
    <col min="15" max="15" width="23.81640625" style="70" customWidth="1"/>
    <col min="16" max="16" width="10.453125" style="70" hidden="1" customWidth="1"/>
    <col min="17" max="17" width="100.36328125" style="104" customWidth="1"/>
    <col min="18" max="20" width="20.1796875" style="70" customWidth="1"/>
    <col min="21" max="21" width="23.6328125" style="70" customWidth="1"/>
    <col min="22" max="22" width="10.6328125" style="70" hidden="1" customWidth="1"/>
    <col min="23" max="23" width="100.36328125" style="104" customWidth="1"/>
    <col min="24" max="26" width="20.1796875" style="70" customWidth="1"/>
    <col min="27" max="27" width="22.36328125" style="70" customWidth="1"/>
    <col min="28" max="28" width="10.6328125" style="70" hidden="1" customWidth="1"/>
    <col min="29" max="29" width="100.36328125" style="104" customWidth="1"/>
    <col min="30" max="32" width="20.1796875" style="70" customWidth="1"/>
    <col min="33" max="33" width="23.1796875" style="70" customWidth="1"/>
    <col min="34" max="34" width="10.6328125" style="70" hidden="1" customWidth="1"/>
    <col min="35" max="35" width="26.81640625" style="70" customWidth="1"/>
    <col min="36" max="36" width="0.453125" style="105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</row>
    <row r="2" spans="1:38" ht="94.0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8" ht="82.95" customHeight="1">
      <c r="A3" s="207" t="str">
        <f>CONCATENATE("MATCH DE QUALIFICATION"," - ",INFO!B7," - ",INFO!B9)</f>
        <v>MATCH DE QUALIFICATION - CARABINE - LYONNAIS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</row>
    <row r="4" spans="1:38" ht="82.95" customHeight="1" thickBo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</row>
    <row r="5" spans="1:38" s="74" customFormat="1" ht="64.05" customHeight="1" thickTop="1">
      <c r="A5" s="216" t="s">
        <v>45</v>
      </c>
      <c r="B5" s="224" t="s">
        <v>49</v>
      </c>
      <c r="C5" s="218" t="s">
        <v>42</v>
      </c>
      <c r="D5" s="220" t="s">
        <v>47</v>
      </c>
      <c r="E5" s="71" t="s">
        <v>38</v>
      </c>
      <c r="F5" s="222" t="s">
        <v>39</v>
      </c>
      <c r="G5" s="222"/>
      <c r="H5" s="222"/>
      <c r="I5" s="222" t="s">
        <v>40</v>
      </c>
      <c r="J5" s="227" t="s">
        <v>52</v>
      </c>
      <c r="K5" s="72" t="s">
        <v>38</v>
      </c>
      <c r="L5" s="218" t="s">
        <v>39</v>
      </c>
      <c r="M5" s="218"/>
      <c r="N5" s="218"/>
      <c r="O5" s="218" t="s">
        <v>40</v>
      </c>
      <c r="P5" s="214" t="s">
        <v>52</v>
      </c>
      <c r="Q5" s="72" t="s">
        <v>38</v>
      </c>
      <c r="R5" s="218" t="s">
        <v>39</v>
      </c>
      <c r="S5" s="218"/>
      <c r="T5" s="218"/>
      <c r="U5" s="218" t="s">
        <v>40</v>
      </c>
      <c r="V5" s="212" t="s">
        <v>52</v>
      </c>
      <c r="W5" s="72" t="s">
        <v>38</v>
      </c>
      <c r="X5" s="218" t="s">
        <v>39</v>
      </c>
      <c r="Y5" s="218"/>
      <c r="Z5" s="218"/>
      <c r="AA5" s="218" t="s">
        <v>40</v>
      </c>
      <c r="AB5" s="214" t="s">
        <v>52</v>
      </c>
      <c r="AC5" s="72" t="s">
        <v>38</v>
      </c>
      <c r="AD5" s="218" t="s">
        <v>39</v>
      </c>
      <c r="AE5" s="218"/>
      <c r="AF5" s="218"/>
      <c r="AG5" s="218" t="s">
        <v>40</v>
      </c>
      <c r="AH5" s="214" t="s">
        <v>52</v>
      </c>
      <c r="AI5" s="225" t="s">
        <v>50</v>
      </c>
      <c r="AJ5" s="210" t="s">
        <v>44</v>
      </c>
      <c r="AK5" s="73"/>
      <c r="AL5" s="209" t="s">
        <v>43</v>
      </c>
    </row>
    <row r="6" spans="1:38" s="74" customFormat="1" ht="72" customHeight="1" thickBot="1">
      <c r="A6" s="217"/>
      <c r="B6" s="219"/>
      <c r="C6" s="219"/>
      <c r="D6" s="221"/>
      <c r="E6" s="75" t="s">
        <v>30</v>
      </c>
      <c r="F6" s="76">
        <v>1</v>
      </c>
      <c r="G6" s="76">
        <v>2</v>
      </c>
      <c r="H6" s="76">
        <v>3</v>
      </c>
      <c r="I6" s="223"/>
      <c r="J6" s="228"/>
      <c r="K6" s="77" t="s">
        <v>2</v>
      </c>
      <c r="L6" s="78">
        <v>1</v>
      </c>
      <c r="M6" s="78">
        <v>2</v>
      </c>
      <c r="N6" s="78">
        <v>3</v>
      </c>
      <c r="O6" s="219"/>
      <c r="P6" s="215"/>
      <c r="Q6" s="77" t="s">
        <v>3</v>
      </c>
      <c r="R6" s="78">
        <v>1</v>
      </c>
      <c r="S6" s="78">
        <v>2</v>
      </c>
      <c r="T6" s="78">
        <v>3</v>
      </c>
      <c r="U6" s="219"/>
      <c r="V6" s="213"/>
      <c r="W6" s="77" t="s">
        <v>4</v>
      </c>
      <c r="X6" s="78">
        <v>1</v>
      </c>
      <c r="Y6" s="78">
        <v>2</v>
      </c>
      <c r="Z6" s="78">
        <v>3</v>
      </c>
      <c r="AA6" s="219"/>
      <c r="AB6" s="215"/>
      <c r="AC6" s="77" t="s">
        <v>5</v>
      </c>
      <c r="AD6" s="78">
        <v>1</v>
      </c>
      <c r="AE6" s="78">
        <v>2</v>
      </c>
      <c r="AF6" s="78">
        <v>3</v>
      </c>
      <c r="AG6" s="219"/>
      <c r="AH6" s="215"/>
      <c r="AI6" s="226"/>
      <c r="AJ6" s="211"/>
      <c r="AL6" s="209"/>
    </row>
    <row r="7" spans="1:38" ht="120" customHeight="1" thickTop="1">
      <c r="A7" s="79">
        <v>1</v>
      </c>
      <c r="B7" s="130">
        <f t="shared" ref="B7:B26" si="0">RANK(AL7,$AL$7:$AL$26,0)</f>
        <v>4</v>
      </c>
      <c r="C7" s="196" t="s">
        <v>63</v>
      </c>
      <c r="D7" s="80">
        <v>1369050</v>
      </c>
      <c r="E7" s="81" t="s">
        <v>64</v>
      </c>
      <c r="F7" s="133">
        <v>88.8</v>
      </c>
      <c r="G7" s="133">
        <v>91.5</v>
      </c>
      <c r="H7" s="133">
        <v>94.6</v>
      </c>
      <c r="I7" s="134">
        <f t="shared" ref="I7" si="1">SUM(F7:H7)</f>
        <v>274.89999999999998</v>
      </c>
      <c r="J7" s="82"/>
      <c r="K7" s="83" t="s">
        <v>99</v>
      </c>
      <c r="L7" s="133">
        <v>78.8</v>
      </c>
      <c r="M7" s="133">
        <v>87.1</v>
      </c>
      <c r="N7" s="139">
        <v>83</v>
      </c>
      <c r="O7" s="140">
        <f t="shared" ref="O7" si="2">SUM(L7:N7)</f>
        <v>248.89999999999998</v>
      </c>
      <c r="P7" s="84"/>
      <c r="Q7" s="83" t="s">
        <v>109</v>
      </c>
      <c r="R7" s="133">
        <v>90.6</v>
      </c>
      <c r="S7" s="133">
        <v>92.6</v>
      </c>
      <c r="T7" s="139">
        <v>96.7</v>
      </c>
      <c r="U7" s="140">
        <f t="shared" ref="U7" si="3">SUM(R7:T7)</f>
        <v>279.89999999999998</v>
      </c>
      <c r="V7" s="84"/>
      <c r="W7" s="83" t="s">
        <v>65</v>
      </c>
      <c r="X7" s="133">
        <v>95</v>
      </c>
      <c r="Y7" s="133">
        <v>98.9</v>
      </c>
      <c r="Z7" s="139">
        <v>99.9</v>
      </c>
      <c r="AA7" s="140">
        <f t="shared" ref="AA7" si="4">SUM(X7:Z7)</f>
        <v>293.8</v>
      </c>
      <c r="AB7" s="84"/>
      <c r="AC7" s="83" t="s">
        <v>66</v>
      </c>
      <c r="AD7" s="133">
        <v>96.7</v>
      </c>
      <c r="AE7" s="133">
        <v>97.3</v>
      </c>
      <c r="AF7" s="139">
        <v>99.4</v>
      </c>
      <c r="AG7" s="140">
        <f t="shared" ref="AG7" si="5">SUM(AD7:AF7)</f>
        <v>293.39999999999998</v>
      </c>
      <c r="AH7" s="84"/>
      <c r="AI7" s="145">
        <f>SUM(I7+O7+U7+AA7+AG7)</f>
        <v>1390.9</v>
      </c>
      <c r="AJ7" s="85">
        <f>J7+P7+V7+AB7+AH7</f>
        <v>0</v>
      </c>
      <c r="AL7" s="86">
        <f>I7+O7+U7+AA7+AG7+(0.000001*(J7+P7+V7+AB7+AH7))+(0.000000001*(H7+N7+T7+Z7+AF7))+(0.000000000001*(G7+M7+S7+Y7+AE7))</f>
        <v>1390.9000004740676</v>
      </c>
    </row>
    <row r="8" spans="1:38" ht="120" customHeight="1">
      <c r="A8" s="87">
        <v>2</v>
      </c>
      <c r="B8" s="131">
        <f t="shared" si="0"/>
        <v>3</v>
      </c>
      <c r="C8" s="197" t="s">
        <v>67</v>
      </c>
      <c r="D8" s="89">
        <v>1301117</v>
      </c>
      <c r="E8" s="90" t="s">
        <v>70</v>
      </c>
      <c r="F8" s="135">
        <v>97.9</v>
      </c>
      <c r="G8" s="135">
        <v>99.5</v>
      </c>
      <c r="H8" s="135">
        <v>97.8</v>
      </c>
      <c r="I8" s="136">
        <f>SUM(F8:H8)</f>
        <v>295.2</v>
      </c>
      <c r="J8" s="91"/>
      <c r="K8" s="92" t="s">
        <v>71</v>
      </c>
      <c r="L8" s="135">
        <v>92.9</v>
      </c>
      <c r="M8" s="135">
        <v>98.1</v>
      </c>
      <c r="N8" s="141">
        <v>95</v>
      </c>
      <c r="O8" s="142">
        <f>SUM(L8:N8)</f>
        <v>286</v>
      </c>
      <c r="P8" s="93"/>
      <c r="Q8" s="92" t="s">
        <v>108</v>
      </c>
      <c r="R8" s="135">
        <v>66.099999999999994</v>
      </c>
      <c r="S8" s="135">
        <v>76.8</v>
      </c>
      <c r="T8" s="141">
        <v>79.599999999999994</v>
      </c>
      <c r="U8" s="142">
        <f>SUM(R8:T8)</f>
        <v>222.49999999999997</v>
      </c>
      <c r="V8" s="93"/>
      <c r="W8" s="92" t="s">
        <v>69</v>
      </c>
      <c r="X8" s="135">
        <v>97.9</v>
      </c>
      <c r="Y8" s="135">
        <v>97.1</v>
      </c>
      <c r="Z8" s="141">
        <v>95.2</v>
      </c>
      <c r="AA8" s="142">
        <f>SUM(X8:Z8)</f>
        <v>290.2</v>
      </c>
      <c r="AB8" s="93"/>
      <c r="AC8" s="92" t="s">
        <v>68</v>
      </c>
      <c r="AD8" s="135">
        <v>101.2</v>
      </c>
      <c r="AE8" s="135">
        <v>102.3</v>
      </c>
      <c r="AF8" s="141">
        <v>100.4</v>
      </c>
      <c r="AG8" s="142">
        <f>SUM(AD8:AF8)</f>
        <v>303.89999999999998</v>
      </c>
      <c r="AH8" s="93"/>
      <c r="AI8" s="146">
        <f>SUM(I8+O8+U8+AA8+AG8)</f>
        <v>1397.8000000000002</v>
      </c>
      <c r="AJ8" s="94">
        <f t="shared" ref="AJ8:AJ26" si="6">J8+P8+V8+AB8+AH8</f>
        <v>0</v>
      </c>
      <c r="AL8" s="86">
        <f t="shared" ref="AL8:AL26" si="7">I8+O8+U8+AA8+AG8+(0.000001*(J8+P8+V8+AB8+AH8))+(0.000000001*(H8+N8+T8+Z8+AF8))+(0.000000000001*(G8+M8+S8+Y8+AE8))</f>
        <v>1397.8000004684741</v>
      </c>
    </row>
    <row r="9" spans="1:38" ht="120" customHeight="1">
      <c r="A9" s="87">
        <v>3</v>
      </c>
      <c r="B9" s="131">
        <f t="shared" si="0"/>
        <v>1</v>
      </c>
      <c r="C9" s="197" t="s">
        <v>80</v>
      </c>
      <c r="D9" s="89">
        <v>1342110</v>
      </c>
      <c r="E9" s="90" t="s">
        <v>81</v>
      </c>
      <c r="F9" s="135">
        <v>95.9</v>
      </c>
      <c r="G9" s="135">
        <v>98</v>
      </c>
      <c r="H9" s="135">
        <v>98</v>
      </c>
      <c r="I9" s="136">
        <f t="shared" ref="I9" si="8">SUM(F9:H9)</f>
        <v>291.89999999999998</v>
      </c>
      <c r="J9" s="91"/>
      <c r="K9" s="92" t="s">
        <v>97</v>
      </c>
      <c r="L9" s="135">
        <v>95.8</v>
      </c>
      <c r="M9" s="135">
        <v>98.7</v>
      </c>
      <c r="N9" s="141">
        <v>98.6</v>
      </c>
      <c r="O9" s="142">
        <f>SUM(L9:N9)</f>
        <v>293.10000000000002</v>
      </c>
      <c r="P9" s="93"/>
      <c r="Q9" s="92" t="s">
        <v>98</v>
      </c>
      <c r="R9" s="135">
        <v>91.5</v>
      </c>
      <c r="S9" s="135">
        <v>98.3</v>
      </c>
      <c r="T9" s="141">
        <v>101.2</v>
      </c>
      <c r="U9" s="142">
        <f>SUM(R9:T9)</f>
        <v>291</v>
      </c>
      <c r="V9" s="93"/>
      <c r="W9" s="92" t="s">
        <v>90</v>
      </c>
      <c r="X9" s="135">
        <v>97.5</v>
      </c>
      <c r="Y9" s="135">
        <v>97.8</v>
      </c>
      <c r="Z9" s="141">
        <v>97.5</v>
      </c>
      <c r="AA9" s="142">
        <f>SUM(X9:Z9)</f>
        <v>292.8</v>
      </c>
      <c r="AB9" s="93"/>
      <c r="AC9" s="92" t="s">
        <v>115</v>
      </c>
      <c r="AD9" s="135">
        <v>98.7</v>
      </c>
      <c r="AE9" s="135">
        <v>99.8</v>
      </c>
      <c r="AF9" s="141">
        <v>100.4</v>
      </c>
      <c r="AG9" s="142">
        <f>SUM(AD9:AF9)</f>
        <v>298.89999999999998</v>
      </c>
      <c r="AH9" s="93"/>
      <c r="AI9" s="146">
        <f>SUM(I9+O9+U9+AA9+AG9)</f>
        <v>1467.6999999999998</v>
      </c>
      <c r="AJ9" s="94">
        <f t="shared" si="6"/>
        <v>0</v>
      </c>
      <c r="AL9" s="86">
        <f t="shared" si="7"/>
        <v>1467.7000004961924</v>
      </c>
    </row>
    <row r="10" spans="1:38" ht="120" customHeight="1">
      <c r="A10" s="87">
        <v>4</v>
      </c>
      <c r="B10" s="131">
        <f t="shared" si="0"/>
        <v>6</v>
      </c>
      <c r="C10" s="197" t="s">
        <v>72</v>
      </c>
      <c r="D10" s="89">
        <v>1342141</v>
      </c>
      <c r="E10" s="90" t="s">
        <v>73</v>
      </c>
      <c r="F10" s="135">
        <v>85.6</v>
      </c>
      <c r="G10" s="135">
        <v>89.7</v>
      </c>
      <c r="H10" s="135">
        <v>91.9</v>
      </c>
      <c r="I10" s="136">
        <f t="shared" ref="I10:I26" si="9">SUM(F10:H10)</f>
        <v>267.20000000000005</v>
      </c>
      <c r="J10" s="91"/>
      <c r="K10" s="92" t="s">
        <v>96</v>
      </c>
      <c r="L10" s="135">
        <v>80.3</v>
      </c>
      <c r="M10" s="135">
        <v>77.400000000000006</v>
      </c>
      <c r="N10" s="141">
        <v>81.599999999999994</v>
      </c>
      <c r="O10" s="142">
        <f t="shared" ref="O10:O26" si="10">SUM(L10:N10)</f>
        <v>239.29999999999998</v>
      </c>
      <c r="P10" s="93"/>
      <c r="Q10" s="92" t="s">
        <v>93</v>
      </c>
      <c r="R10" s="135">
        <v>99.7</v>
      </c>
      <c r="S10" s="135">
        <v>98.4</v>
      </c>
      <c r="T10" s="141">
        <v>97.1</v>
      </c>
      <c r="U10" s="142">
        <f t="shared" ref="U10:U26" si="11">SUM(R10:T10)</f>
        <v>295.20000000000005</v>
      </c>
      <c r="V10" s="93"/>
      <c r="W10" s="92" t="s">
        <v>74</v>
      </c>
      <c r="X10" s="135">
        <v>75.900000000000006</v>
      </c>
      <c r="Y10" s="135">
        <v>92</v>
      </c>
      <c r="Z10" s="141">
        <v>83.7</v>
      </c>
      <c r="AA10" s="142">
        <f t="shared" ref="AA10:AA26" si="12">SUM(X10:Z10)</f>
        <v>251.60000000000002</v>
      </c>
      <c r="AB10" s="93"/>
      <c r="AC10" s="92" t="s">
        <v>85</v>
      </c>
      <c r="AD10" s="135">
        <v>89.7</v>
      </c>
      <c r="AE10" s="135">
        <v>89.4</v>
      </c>
      <c r="AF10" s="141">
        <v>95.2</v>
      </c>
      <c r="AG10" s="142">
        <f t="shared" ref="AG10:AG26" si="13">SUM(AD10:AF10)</f>
        <v>274.3</v>
      </c>
      <c r="AH10" s="93"/>
      <c r="AI10" s="146">
        <f t="shared" ref="AI10:AI26" si="14">SUM(I10+O10+U10+AA10+AG10)</f>
        <v>1327.6000000000001</v>
      </c>
      <c r="AJ10" s="94">
        <f t="shared" si="6"/>
        <v>0</v>
      </c>
      <c r="AL10" s="86">
        <f t="shared" si="7"/>
        <v>1327.6000004499469</v>
      </c>
    </row>
    <row r="11" spans="1:38" ht="120" customHeight="1">
      <c r="A11" s="87">
        <v>5</v>
      </c>
      <c r="B11" s="131">
        <f t="shared" si="0"/>
        <v>7</v>
      </c>
      <c r="C11" s="197" t="s">
        <v>75</v>
      </c>
      <c r="D11" s="89">
        <v>1342055</v>
      </c>
      <c r="E11" s="90" t="s">
        <v>76</v>
      </c>
      <c r="F11" s="135">
        <v>83.9</v>
      </c>
      <c r="G11" s="135">
        <v>84.1</v>
      </c>
      <c r="H11" s="135">
        <v>89.5</v>
      </c>
      <c r="I11" s="136">
        <f t="shared" si="9"/>
        <v>257.5</v>
      </c>
      <c r="J11" s="91"/>
      <c r="K11" s="92" t="s">
        <v>86</v>
      </c>
      <c r="L11" s="135">
        <v>91.3</v>
      </c>
      <c r="M11" s="135">
        <v>90.9</v>
      </c>
      <c r="N11" s="141">
        <v>90.9</v>
      </c>
      <c r="O11" s="142">
        <f t="shared" si="10"/>
        <v>273.10000000000002</v>
      </c>
      <c r="P11" s="93"/>
      <c r="Q11" s="92" t="s">
        <v>87</v>
      </c>
      <c r="R11" s="135">
        <v>80.8</v>
      </c>
      <c r="S11" s="135">
        <v>81</v>
      </c>
      <c r="T11" s="141">
        <v>83.9</v>
      </c>
      <c r="U11" s="142">
        <f t="shared" si="11"/>
        <v>245.70000000000002</v>
      </c>
      <c r="V11" s="93"/>
      <c r="W11" s="92" t="s">
        <v>100</v>
      </c>
      <c r="X11" s="135">
        <v>86</v>
      </c>
      <c r="Y11" s="135">
        <v>75.7</v>
      </c>
      <c r="Z11" s="141">
        <v>75</v>
      </c>
      <c r="AA11" s="142">
        <f t="shared" si="12"/>
        <v>236.7</v>
      </c>
      <c r="AB11" s="93"/>
      <c r="AC11" s="92" t="s">
        <v>101</v>
      </c>
      <c r="AD11" s="135">
        <v>84.4</v>
      </c>
      <c r="AE11" s="135">
        <v>82.5</v>
      </c>
      <c r="AF11" s="141">
        <v>74.8</v>
      </c>
      <c r="AG11" s="142">
        <f t="shared" si="13"/>
        <v>241.7</v>
      </c>
      <c r="AH11" s="93"/>
      <c r="AI11" s="146">
        <f t="shared" si="14"/>
        <v>1254.7</v>
      </c>
      <c r="AJ11" s="94">
        <f t="shared" si="6"/>
        <v>0</v>
      </c>
      <c r="AL11" s="86">
        <f t="shared" si="7"/>
        <v>1254.7000004145143</v>
      </c>
    </row>
    <row r="12" spans="1:38" ht="120" customHeight="1">
      <c r="A12" s="87">
        <v>6</v>
      </c>
      <c r="B12" s="131">
        <f t="shared" si="0"/>
        <v>8</v>
      </c>
      <c r="C12" s="197" t="s">
        <v>77</v>
      </c>
      <c r="D12" s="89">
        <v>1342010</v>
      </c>
      <c r="E12" s="90" t="s">
        <v>78</v>
      </c>
      <c r="F12" s="135">
        <v>76.5</v>
      </c>
      <c r="G12" s="135">
        <v>79.400000000000006</v>
      </c>
      <c r="H12" s="135">
        <v>68</v>
      </c>
      <c r="I12" s="136">
        <f t="shared" si="9"/>
        <v>223.9</v>
      </c>
      <c r="J12" s="91"/>
      <c r="K12" s="92" t="s">
        <v>79</v>
      </c>
      <c r="L12" s="135">
        <v>81.5</v>
      </c>
      <c r="M12" s="135">
        <v>87.9</v>
      </c>
      <c r="N12" s="141">
        <v>93.1</v>
      </c>
      <c r="O12" s="142">
        <f t="shared" si="10"/>
        <v>262.5</v>
      </c>
      <c r="P12" s="93"/>
      <c r="Q12" s="92" t="s">
        <v>88</v>
      </c>
      <c r="R12" s="135">
        <v>60.1</v>
      </c>
      <c r="S12" s="135">
        <v>66.8</v>
      </c>
      <c r="T12" s="141">
        <v>67</v>
      </c>
      <c r="U12" s="142">
        <f t="shared" si="11"/>
        <v>193.9</v>
      </c>
      <c r="V12" s="93"/>
      <c r="W12" s="92" t="s">
        <v>89</v>
      </c>
      <c r="X12" s="135">
        <v>79.3</v>
      </c>
      <c r="Y12" s="135">
        <v>73.599999999999994</v>
      </c>
      <c r="Z12" s="141">
        <v>79.599999999999994</v>
      </c>
      <c r="AA12" s="142">
        <f t="shared" si="12"/>
        <v>232.49999999999997</v>
      </c>
      <c r="AB12" s="93"/>
      <c r="AC12" s="92" t="s">
        <v>94</v>
      </c>
      <c r="AD12" s="135">
        <v>69.5</v>
      </c>
      <c r="AE12" s="135">
        <v>50.8</v>
      </c>
      <c r="AF12" s="141">
        <v>61.9</v>
      </c>
      <c r="AG12" s="142">
        <f t="shared" si="13"/>
        <v>182.2</v>
      </c>
      <c r="AH12" s="93"/>
      <c r="AI12" s="146">
        <f t="shared" si="14"/>
        <v>1095</v>
      </c>
      <c r="AJ12" s="94">
        <f t="shared" si="6"/>
        <v>0</v>
      </c>
      <c r="AL12" s="86">
        <f t="shared" si="7"/>
        <v>1095.0000003699586</v>
      </c>
    </row>
    <row r="13" spans="1:38" ht="120" customHeight="1">
      <c r="A13" s="87">
        <v>7</v>
      </c>
      <c r="B13" s="131">
        <f t="shared" si="0"/>
        <v>5</v>
      </c>
      <c r="C13" s="197" t="s">
        <v>102</v>
      </c>
      <c r="D13" s="89">
        <v>1304080</v>
      </c>
      <c r="E13" s="90" t="s">
        <v>103</v>
      </c>
      <c r="F13" s="135">
        <v>84.9</v>
      </c>
      <c r="G13" s="135">
        <v>85.5</v>
      </c>
      <c r="H13" s="135">
        <v>85.2</v>
      </c>
      <c r="I13" s="136">
        <f t="shared" si="9"/>
        <v>255.60000000000002</v>
      </c>
      <c r="J13" s="91"/>
      <c r="K13" s="92" t="s">
        <v>104</v>
      </c>
      <c r="L13" s="135">
        <v>85.9</v>
      </c>
      <c r="M13" s="135">
        <v>89.2</v>
      </c>
      <c r="N13" s="141">
        <v>94.7</v>
      </c>
      <c r="O13" s="142">
        <f t="shared" si="10"/>
        <v>269.8</v>
      </c>
      <c r="P13" s="93"/>
      <c r="Q13" s="92" t="s">
        <v>105</v>
      </c>
      <c r="R13" s="135">
        <v>90.4</v>
      </c>
      <c r="S13" s="135">
        <v>94.3</v>
      </c>
      <c r="T13" s="141">
        <v>95.7</v>
      </c>
      <c r="U13" s="142">
        <f t="shared" si="11"/>
        <v>280.39999999999998</v>
      </c>
      <c r="V13" s="93"/>
      <c r="W13" s="92" t="s">
        <v>106</v>
      </c>
      <c r="X13" s="135">
        <v>81.099999999999994</v>
      </c>
      <c r="Y13" s="135">
        <v>90.7</v>
      </c>
      <c r="Z13" s="141">
        <v>93.1</v>
      </c>
      <c r="AA13" s="142">
        <f t="shared" si="12"/>
        <v>264.89999999999998</v>
      </c>
      <c r="AB13" s="93"/>
      <c r="AC13" s="92" t="s">
        <v>107</v>
      </c>
      <c r="AD13" s="135">
        <v>85.9</v>
      </c>
      <c r="AE13" s="135">
        <v>87.4</v>
      </c>
      <c r="AF13" s="141">
        <v>85.2</v>
      </c>
      <c r="AG13" s="142">
        <f t="shared" si="13"/>
        <v>258.5</v>
      </c>
      <c r="AH13" s="93"/>
      <c r="AI13" s="146">
        <f t="shared" si="14"/>
        <v>1329.2</v>
      </c>
      <c r="AJ13" s="94">
        <f t="shared" si="6"/>
        <v>0</v>
      </c>
      <c r="AL13" s="86">
        <f t="shared" si="7"/>
        <v>1329.200000454347</v>
      </c>
    </row>
    <row r="14" spans="1:38" ht="120" customHeight="1">
      <c r="A14" s="87">
        <v>8</v>
      </c>
      <c r="B14" s="131">
        <f t="shared" si="0"/>
        <v>2</v>
      </c>
      <c r="C14" s="197" t="s">
        <v>82</v>
      </c>
      <c r="D14" s="89">
        <v>1342127</v>
      </c>
      <c r="E14" s="90" t="s">
        <v>83</v>
      </c>
      <c r="F14" s="135">
        <v>93.3</v>
      </c>
      <c r="G14" s="135">
        <v>95</v>
      </c>
      <c r="H14" s="135">
        <v>97.2</v>
      </c>
      <c r="I14" s="136">
        <f t="shared" si="9"/>
        <v>285.5</v>
      </c>
      <c r="J14" s="91"/>
      <c r="K14" s="92" t="s">
        <v>84</v>
      </c>
      <c r="L14" s="135">
        <v>95</v>
      </c>
      <c r="M14" s="135">
        <v>94.7</v>
      </c>
      <c r="N14" s="141">
        <v>92.3</v>
      </c>
      <c r="O14" s="142">
        <f t="shared" si="10"/>
        <v>282</v>
      </c>
      <c r="P14" s="93"/>
      <c r="Q14" s="92" t="s">
        <v>91</v>
      </c>
      <c r="R14" s="135">
        <v>83.8</v>
      </c>
      <c r="S14" s="135">
        <v>94.4</v>
      </c>
      <c r="T14" s="141">
        <v>90.7</v>
      </c>
      <c r="U14" s="142">
        <f t="shared" si="11"/>
        <v>268.89999999999998</v>
      </c>
      <c r="V14" s="93"/>
      <c r="W14" s="92" t="s">
        <v>92</v>
      </c>
      <c r="X14" s="135">
        <v>91.2</v>
      </c>
      <c r="Y14" s="135">
        <v>91.3</v>
      </c>
      <c r="Z14" s="141">
        <v>94.7</v>
      </c>
      <c r="AA14" s="142">
        <f t="shared" si="12"/>
        <v>277.2</v>
      </c>
      <c r="AB14" s="93"/>
      <c r="AC14" s="92" t="s">
        <v>95</v>
      </c>
      <c r="AD14" s="135">
        <v>92</v>
      </c>
      <c r="AE14" s="135">
        <v>99.7</v>
      </c>
      <c r="AF14" s="141">
        <v>97.1</v>
      </c>
      <c r="AG14" s="142">
        <f t="shared" si="13"/>
        <v>288.79999999999995</v>
      </c>
      <c r="AH14" s="93"/>
      <c r="AI14" s="146">
        <f t="shared" si="14"/>
        <v>1402.3999999999999</v>
      </c>
      <c r="AJ14" s="94">
        <f t="shared" si="6"/>
        <v>0</v>
      </c>
      <c r="AL14" s="86">
        <f t="shared" si="7"/>
        <v>1402.4000004724751</v>
      </c>
    </row>
    <row r="15" spans="1:38" ht="120" customHeight="1">
      <c r="A15" s="87">
        <v>9</v>
      </c>
      <c r="B15" s="131">
        <f t="shared" si="0"/>
        <v>9</v>
      </c>
      <c r="C15" s="88"/>
      <c r="D15" s="89"/>
      <c r="E15" s="90"/>
      <c r="F15" s="135"/>
      <c r="G15" s="135"/>
      <c r="H15" s="135"/>
      <c r="I15" s="136">
        <f t="shared" si="9"/>
        <v>0</v>
      </c>
      <c r="J15" s="91"/>
      <c r="K15" s="92"/>
      <c r="L15" s="135"/>
      <c r="M15" s="135"/>
      <c r="N15" s="141"/>
      <c r="O15" s="142">
        <f t="shared" si="10"/>
        <v>0</v>
      </c>
      <c r="P15" s="93"/>
      <c r="Q15" s="92"/>
      <c r="R15" s="135"/>
      <c r="S15" s="135"/>
      <c r="T15" s="141"/>
      <c r="U15" s="142">
        <f t="shared" si="11"/>
        <v>0</v>
      </c>
      <c r="V15" s="93"/>
      <c r="W15" s="92"/>
      <c r="X15" s="135"/>
      <c r="Y15" s="135"/>
      <c r="Z15" s="141"/>
      <c r="AA15" s="142">
        <f t="shared" si="12"/>
        <v>0</v>
      </c>
      <c r="AB15" s="93"/>
      <c r="AC15" s="92"/>
      <c r="AD15" s="135"/>
      <c r="AE15" s="135"/>
      <c r="AF15" s="141"/>
      <c r="AG15" s="142">
        <f t="shared" si="13"/>
        <v>0</v>
      </c>
      <c r="AH15" s="93"/>
      <c r="AI15" s="146">
        <f t="shared" si="14"/>
        <v>0</v>
      </c>
      <c r="AJ15" s="94">
        <f t="shared" si="6"/>
        <v>0</v>
      </c>
      <c r="AL15" s="86">
        <f t="shared" si="7"/>
        <v>0</v>
      </c>
    </row>
    <row r="16" spans="1:38" ht="120" customHeight="1">
      <c r="A16" s="87">
        <v>10</v>
      </c>
      <c r="B16" s="131">
        <f t="shared" si="0"/>
        <v>9</v>
      </c>
      <c r="C16" s="88"/>
      <c r="D16" s="89"/>
      <c r="E16" s="90"/>
      <c r="F16" s="135"/>
      <c r="G16" s="135"/>
      <c r="H16" s="135"/>
      <c r="I16" s="136">
        <f t="shared" si="9"/>
        <v>0</v>
      </c>
      <c r="J16" s="91"/>
      <c r="K16" s="92"/>
      <c r="L16" s="135"/>
      <c r="M16" s="135"/>
      <c r="N16" s="141"/>
      <c r="O16" s="142">
        <f t="shared" si="10"/>
        <v>0</v>
      </c>
      <c r="P16" s="93"/>
      <c r="Q16" s="92"/>
      <c r="R16" s="135"/>
      <c r="S16" s="135"/>
      <c r="T16" s="141"/>
      <c r="U16" s="142">
        <f t="shared" si="11"/>
        <v>0</v>
      </c>
      <c r="V16" s="93"/>
      <c r="W16" s="92"/>
      <c r="X16" s="135"/>
      <c r="Y16" s="135"/>
      <c r="Z16" s="141"/>
      <c r="AA16" s="142">
        <f t="shared" si="12"/>
        <v>0</v>
      </c>
      <c r="AB16" s="93"/>
      <c r="AC16" s="92"/>
      <c r="AD16" s="135"/>
      <c r="AE16" s="135"/>
      <c r="AF16" s="141"/>
      <c r="AG16" s="142">
        <f t="shared" si="13"/>
        <v>0</v>
      </c>
      <c r="AH16" s="93"/>
      <c r="AI16" s="146">
        <f t="shared" si="14"/>
        <v>0</v>
      </c>
      <c r="AJ16" s="94">
        <f t="shared" si="6"/>
        <v>0</v>
      </c>
      <c r="AL16" s="86">
        <f t="shared" si="7"/>
        <v>0</v>
      </c>
    </row>
    <row r="17" spans="1:38" ht="120" customHeight="1">
      <c r="A17" s="87">
        <v>11</v>
      </c>
      <c r="B17" s="131">
        <f t="shared" si="0"/>
        <v>9</v>
      </c>
      <c r="C17" s="88"/>
      <c r="D17" s="89"/>
      <c r="E17" s="90"/>
      <c r="F17" s="135"/>
      <c r="G17" s="135"/>
      <c r="H17" s="135"/>
      <c r="I17" s="136">
        <f t="shared" si="9"/>
        <v>0</v>
      </c>
      <c r="J17" s="91"/>
      <c r="K17" s="92"/>
      <c r="L17" s="135"/>
      <c r="M17" s="135"/>
      <c r="N17" s="141"/>
      <c r="O17" s="142">
        <f t="shared" si="10"/>
        <v>0</v>
      </c>
      <c r="P17" s="93"/>
      <c r="Q17" s="92"/>
      <c r="R17" s="135"/>
      <c r="S17" s="135"/>
      <c r="T17" s="141"/>
      <c r="U17" s="142">
        <f t="shared" si="11"/>
        <v>0</v>
      </c>
      <c r="V17" s="93"/>
      <c r="W17" s="92"/>
      <c r="X17" s="135"/>
      <c r="Y17" s="135"/>
      <c r="Z17" s="141"/>
      <c r="AA17" s="142">
        <f t="shared" si="12"/>
        <v>0</v>
      </c>
      <c r="AB17" s="93"/>
      <c r="AC17" s="92"/>
      <c r="AD17" s="135"/>
      <c r="AE17" s="135"/>
      <c r="AF17" s="141"/>
      <c r="AG17" s="142">
        <f t="shared" si="13"/>
        <v>0</v>
      </c>
      <c r="AH17" s="93"/>
      <c r="AI17" s="146">
        <f t="shared" si="14"/>
        <v>0</v>
      </c>
      <c r="AJ17" s="94">
        <f t="shared" si="6"/>
        <v>0</v>
      </c>
      <c r="AL17" s="86">
        <f t="shared" si="7"/>
        <v>0</v>
      </c>
    </row>
    <row r="18" spans="1:38" ht="120" customHeight="1">
      <c r="A18" s="87">
        <v>12</v>
      </c>
      <c r="B18" s="131">
        <f t="shared" si="0"/>
        <v>9</v>
      </c>
      <c r="C18" s="88"/>
      <c r="D18" s="89"/>
      <c r="E18" s="90"/>
      <c r="F18" s="135"/>
      <c r="G18" s="135"/>
      <c r="H18" s="135"/>
      <c r="I18" s="136">
        <f t="shared" si="9"/>
        <v>0</v>
      </c>
      <c r="J18" s="91"/>
      <c r="K18" s="92"/>
      <c r="L18" s="135"/>
      <c r="M18" s="135"/>
      <c r="N18" s="141"/>
      <c r="O18" s="142">
        <f t="shared" si="10"/>
        <v>0</v>
      </c>
      <c r="P18" s="93"/>
      <c r="Q18" s="92"/>
      <c r="R18" s="135"/>
      <c r="S18" s="135"/>
      <c r="T18" s="141"/>
      <c r="U18" s="142">
        <f t="shared" si="11"/>
        <v>0</v>
      </c>
      <c r="V18" s="93"/>
      <c r="W18" s="92"/>
      <c r="X18" s="135"/>
      <c r="Y18" s="135"/>
      <c r="Z18" s="141"/>
      <c r="AA18" s="142">
        <f t="shared" si="12"/>
        <v>0</v>
      </c>
      <c r="AB18" s="93"/>
      <c r="AC18" s="92"/>
      <c r="AD18" s="135"/>
      <c r="AE18" s="135"/>
      <c r="AF18" s="141"/>
      <c r="AG18" s="142">
        <f t="shared" si="13"/>
        <v>0</v>
      </c>
      <c r="AH18" s="93"/>
      <c r="AI18" s="146">
        <f t="shared" si="14"/>
        <v>0</v>
      </c>
      <c r="AJ18" s="94">
        <f t="shared" si="6"/>
        <v>0</v>
      </c>
      <c r="AL18" s="86">
        <f t="shared" si="7"/>
        <v>0</v>
      </c>
    </row>
    <row r="19" spans="1:38" ht="120" customHeight="1">
      <c r="A19" s="87">
        <v>13</v>
      </c>
      <c r="B19" s="131">
        <f t="shared" si="0"/>
        <v>9</v>
      </c>
      <c r="C19" s="88"/>
      <c r="D19" s="89"/>
      <c r="E19" s="90"/>
      <c r="F19" s="135"/>
      <c r="G19" s="135"/>
      <c r="H19" s="135"/>
      <c r="I19" s="136">
        <f t="shared" si="9"/>
        <v>0</v>
      </c>
      <c r="J19" s="91"/>
      <c r="K19" s="92"/>
      <c r="L19" s="135"/>
      <c r="M19" s="135"/>
      <c r="N19" s="141"/>
      <c r="O19" s="142">
        <f t="shared" si="10"/>
        <v>0</v>
      </c>
      <c r="P19" s="93"/>
      <c r="Q19" s="92"/>
      <c r="R19" s="135"/>
      <c r="S19" s="135"/>
      <c r="T19" s="141"/>
      <c r="U19" s="142">
        <f t="shared" si="11"/>
        <v>0</v>
      </c>
      <c r="V19" s="93"/>
      <c r="W19" s="92"/>
      <c r="X19" s="135"/>
      <c r="Y19" s="135"/>
      <c r="Z19" s="141"/>
      <c r="AA19" s="142">
        <f t="shared" si="12"/>
        <v>0</v>
      </c>
      <c r="AB19" s="93"/>
      <c r="AC19" s="92"/>
      <c r="AD19" s="135"/>
      <c r="AE19" s="135"/>
      <c r="AF19" s="141"/>
      <c r="AG19" s="142">
        <f t="shared" si="13"/>
        <v>0</v>
      </c>
      <c r="AH19" s="93"/>
      <c r="AI19" s="146">
        <f t="shared" si="14"/>
        <v>0</v>
      </c>
      <c r="AJ19" s="94">
        <f t="shared" si="6"/>
        <v>0</v>
      </c>
      <c r="AL19" s="86">
        <f t="shared" si="7"/>
        <v>0</v>
      </c>
    </row>
    <row r="20" spans="1:38" ht="120" customHeight="1">
      <c r="A20" s="87">
        <v>14</v>
      </c>
      <c r="B20" s="131">
        <f t="shared" si="0"/>
        <v>9</v>
      </c>
      <c r="C20" s="88"/>
      <c r="D20" s="89"/>
      <c r="E20" s="90"/>
      <c r="F20" s="135"/>
      <c r="G20" s="135"/>
      <c r="H20" s="135"/>
      <c r="I20" s="136">
        <f t="shared" si="9"/>
        <v>0</v>
      </c>
      <c r="J20" s="91"/>
      <c r="K20" s="92"/>
      <c r="L20" s="135"/>
      <c r="M20" s="135"/>
      <c r="N20" s="141"/>
      <c r="O20" s="142">
        <f t="shared" si="10"/>
        <v>0</v>
      </c>
      <c r="P20" s="93"/>
      <c r="Q20" s="92"/>
      <c r="R20" s="135"/>
      <c r="S20" s="135"/>
      <c r="T20" s="141"/>
      <c r="U20" s="142">
        <f t="shared" si="11"/>
        <v>0</v>
      </c>
      <c r="V20" s="93"/>
      <c r="W20" s="92"/>
      <c r="X20" s="135"/>
      <c r="Y20" s="135"/>
      <c r="Z20" s="141"/>
      <c r="AA20" s="142">
        <f t="shared" si="12"/>
        <v>0</v>
      </c>
      <c r="AB20" s="93"/>
      <c r="AC20" s="92"/>
      <c r="AD20" s="135"/>
      <c r="AE20" s="135"/>
      <c r="AF20" s="141"/>
      <c r="AG20" s="142">
        <f t="shared" si="13"/>
        <v>0</v>
      </c>
      <c r="AH20" s="93"/>
      <c r="AI20" s="146">
        <f t="shared" si="14"/>
        <v>0</v>
      </c>
      <c r="AJ20" s="94">
        <f t="shared" si="6"/>
        <v>0</v>
      </c>
      <c r="AL20" s="86">
        <f t="shared" si="7"/>
        <v>0</v>
      </c>
    </row>
    <row r="21" spans="1:38" ht="120" customHeight="1">
      <c r="A21" s="87">
        <v>15</v>
      </c>
      <c r="B21" s="131">
        <f t="shared" si="0"/>
        <v>9</v>
      </c>
      <c r="C21" s="88"/>
      <c r="D21" s="89"/>
      <c r="E21" s="90"/>
      <c r="F21" s="135"/>
      <c r="G21" s="135"/>
      <c r="H21" s="135"/>
      <c r="I21" s="136">
        <f t="shared" si="9"/>
        <v>0</v>
      </c>
      <c r="J21" s="91"/>
      <c r="K21" s="92"/>
      <c r="L21" s="135"/>
      <c r="M21" s="135"/>
      <c r="N21" s="141"/>
      <c r="O21" s="142">
        <f t="shared" si="10"/>
        <v>0</v>
      </c>
      <c r="P21" s="93"/>
      <c r="Q21" s="92"/>
      <c r="R21" s="135"/>
      <c r="S21" s="135"/>
      <c r="T21" s="141"/>
      <c r="U21" s="142">
        <f t="shared" si="11"/>
        <v>0</v>
      </c>
      <c r="V21" s="93"/>
      <c r="W21" s="92"/>
      <c r="X21" s="135"/>
      <c r="Y21" s="135"/>
      <c r="Z21" s="141"/>
      <c r="AA21" s="142">
        <f t="shared" si="12"/>
        <v>0</v>
      </c>
      <c r="AB21" s="93"/>
      <c r="AC21" s="92"/>
      <c r="AD21" s="135"/>
      <c r="AE21" s="135"/>
      <c r="AF21" s="141"/>
      <c r="AG21" s="142">
        <f t="shared" si="13"/>
        <v>0</v>
      </c>
      <c r="AH21" s="93"/>
      <c r="AI21" s="146">
        <f t="shared" si="14"/>
        <v>0</v>
      </c>
      <c r="AJ21" s="94">
        <f t="shared" si="6"/>
        <v>0</v>
      </c>
      <c r="AL21" s="86">
        <f t="shared" si="7"/>
        <v>0</v>
      </c>
    </row>
    <row r="22" spans="1:38" ht="120" customHeight="1">
      <c r="A22" s="87">
        <v>16</v>
      </c>
      <c r="B22" s="131">
        <f t="shared" si="0"/>
        <v>9</v>
      </c>
      <c r="C22" s="88"/>
      <c r="D22" s="89"/>
      <c r="E22" s="90"/>
      <c r="F22" s="135"/>
      <c r="G22" s="135"/>
      <c r="H22" s="135"/>
      <c r="I22" s="136">
        <f t="shared" si="9"/>
        <v>0</v>
      </c>
      <c r="J22" s="91"/>
      <c r="K22" s="92"/>
      <c r="L22" s="135"/>
      <c r="M22" s="135"/>
      <c r="N22" s="141"/>
      <c r="O22" s="142">
        <f t="shared" si="10"/>
        <v>0</v>
      </c>
      <c r="P22" s="93"/>
      <c r="Q22" s="92"/>
      <c r="R22" s="135"/>
      <c r="S22" s="135"/>
      <c r="T22" s="141"/>
      <c r="U22" s="142">
        <f t="shared" si="11"/>
        <v>0</v>
      </c>
      <c r="V22" s="93"/>
      <c r="W22" s="92"/>
      <c r="X22" s="135"/>
      <c r="Y22" s="135"/>
      <c r="Z22" s="141"/>
      <c r="AA22" s="142">
        <f t="shared" si="12"/>
        <v>0</v>
      </c>
      <c r="AB22" s="93"/>
      <c r="AC22" s="92"/>
      <c r="AD22" s="135"/>
      <c r="AE22" s="135"/>
      <c r="AF22" s="141"/>
      <c r="AG22" s="142">
        <f t="shared" si="13"/>
        <v>0</v>
      </c>
      <c r="AH22" s="93"/>
      <c r="AI22" s="146">
        <f t="shared" si="14"/>
        <v>0</v>
      </c>
      <c r="AJ22" s="94">
        <f t="shared" si="6"/>
        <v>0</v>
      </c>
      <c r="AL22" s="86">
        <f t="shared" si="7"/>
        <v>0</v>
      </c>
    </row>
    <row r="23" spans="1:38" ht="120" customHeight="1">
      <c r="A23" s="87">
        <v>17</v>
      </c>
      <c r="B23" s="131">
        <f t="shared" si="0"/>
        <v>9</v>
      </c>
      <c r="C23" s="88"/>
      <c r="D23" s="89"/>
      <c r="E23" s="90"/>
      <c r="F23" s="135"/>
      <c r="G23" s="135"/>
      <c r="H23" s="135"/>
      <c r="I23" s="136">
        <f t="shared" si="9"/>
        <v>0</v>
      </c>
      <c r="J23" s="91"/>
      <c r="K23" s="92"/>
      <c r="L23" s="135"/>
      <c r="M23" s="135"/>
      <c r="N23" s="141"/>
      <c r="O23" s="142">
        <f t="shared" si="10"/>
        <v>0</v>
      </c>
      <c r="P23" s="93"/>
      <c r="Q23" s="92"/>
      <c r="R23" s="135"/>
      <c r="S23" s="135"/>
      <c r="T23" s="141"/>
      <c r="U23" s="142">
        <f t="shared" si="11"/>
        <v>0</v>
      </c>
      <c r="V23" s="93"/>
      <c r="W23" s="92"/>
      <c r="X23" s="135"/>
      <c r="Y23" s="135"/>
      <c r="Z23" s="141"/>
      <c r="AA23" s="142">
        <f t="shared" si="12"/>
        <v>0</v>
      </c>
      <c r="AB23" s="93"/>
      <c r="AC23" s="92"/>
      <c r="AD23" s="135"/>
      <c r="AE23" s="135"/>
      <c r="AF23" s="141"/>
      <c r="AG23" s="142">
        <f t="shared" si="13"/>
        <v>0</v>
      </c>
      <c r="AH23" s="93"/>
      <c r="AI23" s="146">
        <f t="shared" si="14"/>
        <v>0</v>
      </c>
      <c r="AJ23" s="94">
        <f t="shared" si="6"/>
        <v>0</v>
      </c>
      <c r="AL23" s="86">
        <f t="shared" si="7"/>
        <v>0</v>
      </c>
    </row>
    <row r="24" spans="1:38" ht="120" customHeight="1">
      <c r="A24" s="87">
        <v>18</v>
      </c>
      <c r="B24" s="131">
        <f t="shared" si="0"/>
        <v>9</v>
      </c>
      <c r="C24" s="88"/>
      <c r="D24" s="89"/>
      <c r="E24" s="90"/>
      <c r="F24" s="135"/>
      <c r="G24" s="135"/>
      <c r="H24" s="135"/>
      <c r="I24" s="136">
        <f t="shared" si="9"/>
        <v>0</v>
      </c>
      <c r="J24" s="91"/>
      <c r="K24" s="92"/>
      <c r="L24" s="135"/>
      <c r="M24" s="135"/>
      <c r="N24" s="141"/>
      <c r="O24" s="142">
        <f t="shared" si="10"/>
        <v>0</v>
      </c>
      <c r="P24" s="93"/>
      <c r="Q24" s="92"/>
      <c r="R24" s="135"/>
      <c r="S24" s="135"/>
      <c r="T24" s="141"/>
      <c r="U24" s="142">
        <f t="shared" si="11"/>
        <v>0</v>
      </c>
      <c r="V24" s="93"/>
      <c r="W24" s="92"/>
      <c r="X24" s="135"/>
      <c r="Y24" s="135"/>
      <c r="Z24" s="141"/>
      <c r="AA24" s="142">
        <f t="shared" si="12"/>
        <v>0</v>
      </c>
      <c r="AB24" s="93"/>
      <c r="AC24" s="92"/>
      <c r="AD24" s="135"/>
      <c r="AE24" s="135"/>
      <c r="AF24" s="141"/>
      <c r="AG24" s="142">
        <f t="shared" si="13"/>
        <v>0</v>
      </c>
      <c r="AH24" s="93"/>
      <c r="AI24" s="146">
        <f t="shared" si="14"/>
        <v>0</v>
      </c>
      <c r="AJ24" s="94">
        <f t="shared" si="6"/>
        <v>0</v>
      </c>
      <c r="AL24" s="86">
        <f t="shared" si="7"/>
        <v>0</v>
      </c>
    </row>
    <row r="25" spans="1:38" ht="120" customHeight="1">
      <c r="A25" s="87">
        <v>19</v>
      </c>
      <c r="B25" s="131">
        <f t="shared" si="0"/>
        <v>9</v>
      </c>
      <c r="C25" s="88"/>
      <c r="D25" s="89"/>
      <c r="E25" s="90"/>
      <c r="F25" s="135"/>
      <c r="G25" s="135"/>
      <c r="H25" s="135"/>
      <c r="I25" s="136">
        <f t="shared" si="9"/>
        <v>0</v>
      </c>
      <c r="J25" s="91"/>
      <c r="K25" s="92"/>
      <c r="L25" s="135"/>
      <c r="M25" s="135"/>
      <c r="N25" s="141"/>
      <c r="O25" s="142">
        <f t="shared" si="10"/>
        <v>0</v>
      </c>
      <c r="P25" s="93"/>
      <c r="Q25" s="92"/>
      <c r="R25" s="135"/>
      <c r="S25" s="135"/>
      <c r="T25" s="141"/>
      <c r="U25" s="142">
        <f t="shared" si="11"/>
        <v>0</v>
      </c>
      <c r="V25" s="93"/>
      <c r="W25" s="92"/>
      <c r="X25" s="135"/>
      <c r="Y25" s="135"/>
      <c r="Z25" s="141"/>
      <c r="AA25" s="142">
        <f t="shared" si="12"/>
        <v>0</v>
      </c>
      <c r="AB25" s="93"/>
      <c r="AC25" s="92"/>
      <c r="AD25" s="135"/>
      <c r="AE25" s="135"/>
      <c r="AF25" s="141"/>
      <c r="AG25" s="142">
        <f t="shared" si="13"/>
        <v>0</v>
      </c>
      <c r="AH25" s="93"/>
      <c r="AI25" s="146">
        <f t="shared" si="14"/>
        <v>0</v>
      </c>
      <c r="AJ25" s="94">
        <f t="shared" si="6"/>
        <v>0</v>
      </c>
      <c r="AL25" s="86">
        <f t="shared" si="7"/>
        <v>0</v>
      </c>
    </row>
    <row r="26" spans="1:38" ht="120" customHeight="1" thickBot="1">
      <c r="A26" s="77">
        <v>20</v>
      </c>
      <c r="B26" s="132">
        <f t="shared" si="0"/>
        <v>9</v>
      </c>
      <c r="C26" s="95"/>
      <c r="D26" s="96"/>
      <c r="E26" s="97"/>
      <c r="F26" s="137"/>
      <c r="G26" s="137"/>
      <c r="H26" s="137"/>
      <c r="I26" s="138">
        <f t="shared" si="9"/>
        <v>0</v>
      </c>
      <c r="J26" s="98"/>
      <c r="K26" s="99"/>
      <c r="L26" s="137"/>
      <c r="M26" s="137"/>
      <c r="N26" s="143"/>
      <c r="O26" s="144">
        <f t="shared" si="10"/>
        <v>0</v>
      </c>
      <c r="P26" s="100"/>
      <c r="Q26" s="99"/>
      <c r="R26" s="137"/>
      <c r="S26" s="137"/>
      <c r="T26" s="143"/>
      <c r="U26" s="144">
        <f t="shared" si="11"/>
        <v>0</v>
      </c>
      <c r="V26" s="100"/>
      <c r="W26" s="99"/>
      <c r="X26" s="137"/>
      <c r="Y26" s="137"/>
      <c r="Z26" s="143"/>
      <c r="AA26" s="144">
        <f t="shared" si="12"/>
        <v>0</v>
      </c>
      <c r="AB26" s="100"/>
      <c r="AC26" s="99"/>
      <c r="AD26" s="137"/>
      <c r="AE26" s="137"/>
      <c r="AF26" s="143"/>
      <c r="AG26" s="144">
        <f t="shared" si="13"/>
        <v>0</v>
      </c>
      <c r="AH26" s="100"/>
      <c r="AI26" s="147">
        <f t="shared" si="14"/>
        <v>0</v>
      </c>
      <c r="AJ26" s="101">
        <f t="shared" si="6"/>
        <v>0</v>
      </c>
      <c r="AL26" s="86">
        <f t="shared" si="7"/>
        <v>0</v>
      </c>
    </row>
    <row r="27" spans="1:38" ht="45.6" thickTop="1"/>
  </sheetData>
  <sheetProtection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4294967294" verticalDpi="4294967294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topLeftCell="F1" zoomScale="30" zoomScaleNormal="30" zoomScaleSheetLayoutView="40" zoomScalePageLayoutView="25" workbookViewId="0">
      <pane ySplit="6" topLeftCell="A10" activePane="bottomLeft" state="frozenSplit"/>
      <selection pane="bottomLeft"/>
    </sheetView>
  </sheetViews>
  <sheetFormatPr baseColWidth="10" defaultColWidth="10.6328125" defaultRowHeight="45"/>
  <cols>
    <col min="1" max="1" width="15.453125" style="102" customWidth="1"/>
    <col min="2" max="2" width="62.1796875" style="104" customWidth="1"/>
    <col min="3" max="3" width="24" style="104" customWidth="1"/>
    <col min="4" max="4" width="54.1796875" style="104" customWidth="1"/>
    <col min="5" max="5" width="18.36328125" style="104" customWidth="1"/>
    <col min="6" max="7" width="18" style="104" customWidth="1"/>
    <col min="8" max="8" width="18.36328125" style="70" customWidth="1"/>
    <col min="9" max="9" width="10.6328125" style="70" hidden="1" customWidth="1"/>
    <col min="10" max="10" width="48.36328125" style="104" customWidth="1"/>
    <col min="11" max="11" width="18" style="104" customWidth="1"/>
    <col min="12" max="12" width="18.36328125" style="104" customWidth="1"/>
    <col min="13" max="13" width="17.453125" style="104" customWidth="1"/>
    <col min="14" max="14" width="16.81640625" style="70" customWidth="1"/>
    <col min="15" max="15" width="10.6328125" style="70" hidden="1" customWidth="1"/>
    <col min="16" max="16" width="62.1796875" style="104" customWidth="1"/>
    <col min="17" max="17" width="18.36328125" style="104" customWidth="1"/>
    <col min="18" max="18" width="15.6328125" style="104" customWidth="1"/>
    <col min="19" max="19" width="17.453125" style="104" customWidth="1"/>
    <col min="20" max="20" width="16.453125" style="70" customWidth="1"/>
    <col min="21" max="21" width="10.6328125" style="70" hidden="1" customWidth="1"/>
    <col min="22" max="22" width="63.1796875" style="104" customWidth="1"/>
    <col min="23" max="23" width="18.36328125" style="104" customWidth="1"/>
    <col min="24" max="24" width="17.453125" style="104" customWidth="1"/>
    <col min="25" max="25" width="18.6328125" style="104" customWidth="1"/>
    <col min="26" max="26" width="16.81640625" style="70" customWidth="1"/>
    <col min="27" max="27" width="10.6328125" style="70" hidden="1" customWidth="1"/>
    <col min="28" max="28" width="49" style="104" customWidth="1"/>
    <col min="29" max="29" width="17.453125" style="104" customWidth="1"/>
    <col min="30" max="30" width="14.6328125" style="104" customWidth="1"/>
    <col min="31" max="31" width="17.1796875" style="104" customWidth="1"/>
    <col min="32" max="32" width="16.453125" style="70" customWidth="1"/>
    <col min="33" max="33" width="10.81640625" style="70" hidden="1" customWidth="1"/>
    <col min="34" max="34" width="29.1796875" style="70" customWidth="1"/>
    <col min="35" max="35" width="19.1796875" style="170" hidden="1" customWidth="1"/>
    <col min="36" max="36" width="23.453125" style="103" customWidth="1"/>
    <col min="37" max="91" width="15.1796875" style="69" customWidth="1"/>
    <col min="92" max="16384" width="10.6328125" style="69"/>
  </cols>
  <sheetData>
    <row r="1" spans="1:37" ht="94.05" customHeight="1">
      <c r="A1" s="192"/>
      <c r="B1" s="193"/>
      <c r="C1" s="193"/>
      <c r="D1" s="193"/>
      <c r="E1" s="193"/>
      <c r="F1" s="193"/>
      <c r="G1" s="193"/>
      <c r="H1" s="194"/>
      <c r="I1" s="194"/>
      <c r="J1" s="193"/>
      <c r="K1" s="193"/>
      <c r="L1" s="193"/>
      <c r="M1" s="193"/>
      <c r="N1" s="194"/>
      <c r="O1" s="194"/>
      <c r="P1" s="193"/>
      <c r="Q1" s="193"/>
      <c r="R1" s="193"/>
      <c r="S1" s="193"/>
      <c r="T1" s="194"/>
      <c r="U1" s="194"/>
      <c r="V1" s="193"/>
      <c r="W1" s="193"/>
      <c r="X1" s="193"/>
      <c r="Y1" s="193"/>
      <c r="Z1" s="194"/>
      <c r="AA1" s="194"/>
      <c r="AB1" s="193"/>
      <c r="AC1" s="193"/>
      <c r="AD1" s="193"/>
      <c r="AE1" s="193"/>
      <c r="AF1" s="194"/>
      <c r="AG1" s="194"/>
      <c r="AH1" s="194"/>
      <c r="AI1" s="195"/>
    </row>
    <row r="2" spans="1:37" ht="94.05" customHeight="1">
      <c r="A2" s="192"/>
      <c r="B2" s="193"/>
      <c r="C2" s="193"/>
      <c r="D2" s="193"/>
      <c r="E2" s="193"/>
      <c r="F2" s="193"/>
      <c r="G2" s="193"/>
      <c r="H2" s="194"/>
      <c r="I2" s="194"/>
      <c r="J2" s="193"/>
      <c r="K2" s="193"/>
      <c r="L2" s="193"/>
      <c r="M2" s="193"/>
      <c r="N2" s="194"/>
      <c r="O2" s="194"/>
      <c r="P2" s="193"/>
      <c r="Q2" s="193"/>
      <c r="R2" s="193"/>
      <c r="S2" s="193"/>
      <c r="T2" s="194"/>
      <c r="U2" s="194"/>
      <c r="V2" s="193"/>
      <c r="W2" s="193"/>
      <c r="X2" s="193"/>
      <c r="Y2" s="193"/>
      <c r="Z2" s="194"/>
      <c r="AA2" s="194"/>
      <c r="AB2" s="193"/>
      <c r="AC2" s="193"/>
      <c r="AD2" s="193"/>
      <c r="AE2" s="193"/>
      <c r="AF2" s="194"/>
      <c r="AG2" s="194"/>
      <c r="AH2" s="194"/>
      <c r="AI2" s="195"/>
    </row>
    <row r="3" spans="1:37" ht="124.05" customHeight="1">
      <c r="A3" s="239" t="str">
        <f>CONCATENATE("MATCH DE QUALIFICATION"," - ",INFO!B7," - ",INFO!B9)</f>
        <v>MATCH DE QUALIFICATION - CARABINE - LYONNAIS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</row>
    <row r="4" spans="1:37" ht="84" customHeight="1" thickBo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148"/>
    </row>
    <row r="5" spans="1:37" ht="30" customHeight="1">
      <c r="A5" s="243" t="s">
        <v>49</v>
      </c>
      <c r="B5" s="249" t="s">
        <v>42</v>
      </c>
      <c r="C5" s="251" t="s">
        <v>47</v>
      </c>
      <c r="D5" s="229" t="s">
        <v>30</v>
      </c>
      <c r="E5" s="233" t="s">
        <v>53</v>
      </c>
      <c r="F5" s="234"/>
      <c r="G5" s="235"/>
      <c r="H5" s="245" t="s">
        <v>40</v>
      </c>
      <c r="I5" s="231" t="s">
        <v>52</v>
      </c>
      <c r="J5" s="229" t="s">
        <v>2</v>
      </c>
      <c r="K5" s="233" t="s">
        <v>53</v>
      </c>
      <c r="L5" s="234"/>
      <c r="M5" s="235"/>
      <c r="N5" s="245" t="s">
        <v>40</v>
      </c>
      <c r="O5" s="231" t="s">
        <v>52</v>
      </c>
      <c r="P5" s="229" t="s">
        <v>3</v>
      </c>
      <c r="Q5" s="233" t="s">
        <v>53</v>
      </c>
      <c r="R5" s="234"/>
      <c r="S5" s="235"/>
      <c r="T5" s="245" t="s">
        <v>40</v>
      </c>
      <c r="U5" s="231" t="s">
        <v>52</v>
      </c>
      <c r="V5" s="229" t="s">
        <v>4</v>
      </c>
      <c r="W5" s="233" t="s">
        <v>53</v>
      </c>
      <c r="X5" s="234"/>
      <c r="Y5" s="235"/>
      <c r="Z5" s="245" t="s">
        <v>40</v>
      </c>
      <c r="AA5" s="231" t="s">
        <v>52</v>
      </c>
      <c r="AB5" s="229" t="s">
        <v>5</v>
      </c>
      <c r="AC5" s="233" t="s">
        <v>53</v>
      </c>
      <c r="AD5" s="234"/>
      <c r="AE5" s="235"/>
      <c r="AF5" s="245" t="s">
        <v>40</v>
      </c>
      <c r="AG5" s="231" t="s">
        <v>52</v>
      </c>
      <c r="AH5" s="243" t="s">
        <v>43</v>
      </c>
      <c r="AI5" s="247" t="s">
        <v>55</v>
      </c>
      <c r="AJ5" s="241"/>
      <c r="AK5" s="149"/>
    </row>
    <row r="6" spans="1:37" ht="85.05" customHeight="1">
      <c r="A6" s="244"/>
      <c r="B6" s="250"/>
      <c r="C6" s="252"/>
      <c r="D6" s="230"/>
      <c r="E6" s="236"/>
      <c r="F6" s="237"/>
      <c r="G6" s="238"/>
      <c r="H6" s="246"/>
      <c r="I6" s="232"/>
      <c r="J6" s="230"/>
      <c r="K6" s="236"/>
      <c r="L6" s="237"/>
      <c r="M6" s="238"/>
      <c r="N6" s="246"/>
      <c r="O6" s="232"/>
      <c r="P6" s="230"/>
      <c r="Q6" s="236"/>
      <c r="R6" s="237"/>
      <c r="S6" s="238"/>
      <c r="T6" s="246"/>
      <c r="U6" s="232"/>
      <c r="V6" s="230"/>
      <c r="W6" s="236"/>
      <c r="X6" s="237"/>
      <c r="Y6" s="238"/>
      <c r="Z6" s="246"/>
      <c r="AA6" s="232"/>
      <c r="AB6" s="230"/>
      <c r="AC6" s="236"/>
      <c r="AD6" s="237"/>
      <c r="AE6" s="238"/>
      <c r="AF6" s="246"/>
      <c r="AG6" s="232"/>
      <c r="AH6" s="244"/>
      <c r="AI6" s="248"/>
      <c r="AJ6" s="242"/>
    </row>
    <row r="7" spans="1:37" ht="153" customHeight="1">
      <c r="A7" s="150">
        <v>1</v>
      </c>
      <c r="B7" s="151" t="str">
        <f>VLOOKUP(A7,saisie!B$7:AL$26,2,0)</f>
        <v>SEST</v>
      </c>
      <c r="C7" s="152">
        <f>VLOOKUP(A7,saisie!B$7:AL$26,3,0)</f>
        <v>1342110</v>
      </c>
      <c r="D7" s="153" t="str">
        <f>VLOOKUP(A7,saisie!B$7:AL$26,4,0)</f>
        <v>COTTEL Agnès</v>
      </c>
      <c r="E7" s="154">
        <f>VLOOKUP(A7,saisie!B$7:AL$26,5,0)</f>
        <v>95.9</v>
      </c>
      <c r="F7" s="154">
        <f>VLOOKUP(A7,saisie!B$7:AL$26,6,0)</f>
        <v>98</v>
      </c>
      <c r="G7" s="154">
        <f>VLOOKUP(A7,saisie!B$7:AL$26,7,0)</f>
        <v>98</v>
      </c>
      <c r="H7" s="155">
        <f>VLOOKUP(A7,saisie!B$7:AL$26,8,0)</f>
        <v>291.89999999999998</v>
      </c>
      <c r="I7" s="156">
        <f>VLOOKUP(A7,saisie!B$7:AL$26,9,0)</f>
        <v>0</v>
      </c>
      <c r="J7" s="153" t="str">
        <f>VLOOKUP(A7,saisie!B$7:AL$26,10,0)</f>
        <v>QUINSON Françoise</v>
      </c>
      <c r="K7" s="154">
        <f>VLOOKUP(A7,saisie!B$7:AL$26,11,0)</f>
        <v>95.8</v>
      </c>
      <c r="L7" s="154">
        <f>VLOOKUP(A7,saisie!B$7:AL$26,12,0)</f>
        <v>98.7</v>
      </c>
      <c r="M7" s="154">
        <f>VLOOKUP(A7,saisie!B$7:AL$26,13,0)</f>
        <v>98.6</v>
      </c>
      <c r="N7" s="155">
        <f>VLOOKUP(A7,saisie!B$7:AL$26,14,0)</f>
        <v>293.10000000000002</v>
      </c>
      <c r="O7" s="156">
        <f>VLOOKUP(A7,saisie!B$7:AL$26,15,0)</f>
        <v>0</v>
      </c>
      <c r="P7" s="153" t="str">
        <f>VLOOKUP(A7,saisie!B$7:AL$26,16,0)</f>
        <v>DELAYE Olivier</v>
      </c>
      <c r="Q7" s="154">
        <f>VLOOKUP(A7,saisie!B$7:AL$26,17,0)</f>
        <v>91.5</v>
      </c>
      <c r="R7" s="154">
        <f>VLOOKUP(A7,saisie!B$7:AL$26,18,0)</f>
        <v>98.3</v>
      </c>
      <c r="S7" s="154">
        <f>VLOOKUP(A7,saisie!B$7:AL$26,19,0)</f>
        <v>101.2</v>
      </c>
      <c r="T7" s="155">
        <f>VLOOKUP(A7,saisie!B$7:AL$26,20,0)</f>
        <v>291</v>
      </c>
      <c r="U7" s="156">
        <f>VLOOKUP(A7,saisie!B$7:AL$26,21,0)</f>
        <v>0</v>
      </c>
      <c r="V7" s="153" t="str">
        <f>VLOOKUP(A7,saisie!B$7:AL$26,22,0)</f>
        <v>PACORET Hugo</v>
      </c>
      <c r="W7" s="154">
        <f>VLOOKUP(A7,saisie!B$7:AL$26,23,0)</f>
        <v>97.5</v>
      </c>
      <c r="X7" s="154">
        <f>VLOOKUP(A7,saisie!B$7:AL$26,24,0)</f>
        <v>97.8</v>
      </c>
      <c r="Y7" s="154">
        <f>VLOOKUP(A7,saisie!B$7:AL$26,25,0)</f>
        <v>97.5</v>
      </c>
      <c r="Z7" s="155">
        <f>VLOOKUP(A7,saisie!B$7:AL$26,26,0)</f>
        <v>292.8</v>
      </c>
      <c r="AA7" s="156">
        <f>VLOOKUP(A7,saisie!B$7:AL$26,27,0)</f>
        <v>0</v>
      </c>
      <c r="AB7" s="153" t="str">
        <f>VLOOKUP(A7,saisie!B$7:AL$26,28,0)</f>
        <v>BONELLI Angéline</v>
      </c>
      <c r="AC7" s="154">
        <f>VLOOKUP(A7,saisie!B$7:AL$26,29,0)</f>
        <v>98.7</v>
      </c>
      <c r="AD7" s="154">
        <f>VLOOKUP(A7,saisie!B$7:AL$26,30,0)</f>
        <v>99.8</v>
      </c>
      <c r="AE7" s="154">
        <f>VLOOKUP(A7,saisie!B$7:AL$26,31,0)</f>
        <v>100.4</v>
      </c>
      <c r="AF7" s="155">
        <f>VLOOKUP(A7,saisie!B$7:AL$26,32,0)</f>
        <v>298.89999999999998</v>
      </c>
      <c r="AG7" s="156">
        <f>VLOOKUP(A7,saisie!B$7:AL$26,33,0)</f>
        <v>0</v>
      </c>
      <c r="AH7" s="150">
        <f>VLOOKUP(A7,saisie!B$7:AL$26,34,0)</f>
        <v>1467.6999999999998</v>
      </c>
      <c r="AI7" s="157">
        <f>VLOOKUP(A7,saisie!B$7:AL$26,35,0)</f>
        <v>0</v>
      </c>
      <c r="AJ7" s="158"/>
    </row>
    <row r="8" spans="1:37" ht="153" customHeight="1">
      <c r="A8" s="150">
        <f>IF(INFO!B8&gt;1,2,"")</f>
        <v>2</v>
      </c>
      <c r="B8" s="151" t="str">
        <f>VLOOKUP(A8,saisie!B$7:AL$26,2,0)</f>
        <v>STSM</v>
      </c>
      <c r="C8" s="152">
        <f>VLOOKUP(A8,saisie!B$7:AL$26,3,0)</f>
        <v>1342127</v>
      </c>
      <c r="D8" s="153" t="str">
        <f>VLOOKUP(A8,saisie!B$7:AL$26,4,0)</f>
        <v>POPIER Théo</v>
      </c>
      <c r="E8" s="154">
        <f>VLOOKUP(A8,saisie!B$7:AL$26,5,0)</f>
        <v>93.3</v>
      </c>
      <c r="F8" s="154">
        <f>VLOOKUP(A8,saisie!B$7:AL$26,6,0)</f>
        <v>95</v>
      </c>
      <c r="G8" s="154">
        <f>VLOOKUP(A8,saisie!B$7:AL$26,7,0)</f>
        <v>97.2</v>
      </c>
      <c r="H8" s="155">
        <f>VLOOKUP(A8,saisie!B$7:AL$26,8,0)</f>
        <v>285.5</v>
      </c>
      <c r="I8" s="156">
        <f>VLOOKUP(A8,saisie!B$7:AL$26,9,0)</f>
        <v>0</v>
      </c>
      <c r="J8" s="153" t="str">
        <f>VLOOKUP(A8,saisie!B$7:AL$26,10,0)</f>
        <v>JACQUETIN Olivier</v>
      </c>
      <c r="K8" s="154">
        <f>VLOOKUP(A8,saisie!B$7:AL$26,11,0)</f>
        <v>95</v>
      </c>
      <c r="L8" s="154">
        <f>VLOOKUP(A8,saisie!B$7:AL$26,12,0)</f>
        <v>94.7</v>
      </c>
      <c r="M8" s="154">
        <f>VLOOKUP(A8,saisie!B$7:AL$26,13,0)</f>
        <v>92.3</v>
      </c>
      <c r="N8" s="155">
        <f>VLOOKUP(A8,saisie!B$7:AL$26,14,0)</f>
        <v>282</v>
      </c>
      <c r="O8" s="156">
        <f>VLOOKUP(A8,saisie!B$7:AL$26,15,0)</f>
        <v>0</v>
      </c>
      <c r="P8" s="153" t="str">
        <f>VLOOKUP(A8,saisie!B$7:AL$26,16,0)</f>
        <v>BERLANDE Julianne</v>
      </c>
      <c r="Q8" s="154">
        <f>VLOOKUP(A8,saisie!B$7:AL$26,17,0)</f>
        <v>83.8</v>
      </c>
      <c r="R8" s="154">
        <f>VLOOKUP(A8,saisie!B$7:AL$26,18,0)</f>
        <v>94.4</v>
      </c>
      <c r="S8" s="154">
        <f>VLOOKUP(A8,saisie!B$7:AL$26,19,0)</f>
        <v>90.7</v>
      </c>
      <c r="T8" s="155">
        <f>VLOOKUP(A8,saisie!B$7:AL$26,20,0)</f>
        <v>268.89999999999998</v>
      </c>
      <c r="U8" s="156">
        <f>VLOOKUP(A8,saisie!B$7:AL$26,21,0)</f>
        <v>0</v>
      </c>
      <c r="V8" s="153" t="str">
        <f>VLOOKUP(A8,saisie!B$7:AL$26,22,0)</f>
        <v>DURAND Juliette</v>
      </c>
      <c r="W8" s="154">
        <f>VLOOKUP(A8,saisie!B$7:AL$26,23,0)</f>
        <v>91.2</v>
      </c>
      <c r="X8" s="154">
        <f>VLOOKUP(A8,saisie!B$7:AL$26,24,0)</f>
        <v>91.3</v>
      </c>
      <c r="Y8" s="154">
        <f>VLOOKUP(A8,saisie!B$7:AL$26,25,0)</f>
        <v>94.7</v>
      </c>
      <c r="Z8" s="155">
        <f>VLOOKUP(A8,saisie!B$7:AL$26,26,0)</f>
        <v>277.2</v>
      </c>
      <c r="AA8" s="156">
        <f>VLOOKUP(A8,saisie!B$7:AL$26,27,0)</f>
        <v>0</v>
      </c>
      <c r="AB8" s="153" t="str">
        <f>VLOOKUP(A8,saisie!B$7:AL$26,28,0)</f>
        <v>STEINER Julien</v>
      </c>
      <c r="AC8" s="154">
        <f>VLOOKUP(A8,saisie!B$7:AL$26,29,0)</f>
        <v>92</v>
      </c>
      <c r="AD8" s="154">
        <f>VLOOKUP(A8,saisie!B$7:AL$26,30,0)</f>
        <v>99.7</v>
      </c>
      <c r="AE8" s="154">
        <f>VLOOKUP(A8,saisie!B$7:AL$26,31,0)</f>
        <v>97.1</v>
      </c>
      <c r="AF8" s="155">
        <f>VLOOKUP(A8,saisie!B$7:AL$26,32,0)</f>
        <v>288.79999999999995</v>
      </c>
      <c r="AG8" s="156">
        <f>VLOOKUP(A8,saisie!B$7:AL$26,33,0)</f>
        <v>0</v>
      </c>
      <c r="AH8" s="150">
        <f>VLOOKUP(A8,saisie!B$7:AL$26,34,0)</f>
        <v>1402.3999999999999</v>
      </c>
      <c r="AI8" s="157">
        <f>VLOOKUP(A8,saisie!B$7:AL$26,35,0)</f>
        <v>0</v>
      </c>
      <c r="AJ8" s="158"/>
    </row>
    <row r="9" spans="1:37" ht="153" customHeight="1">
      <c r="A9" s="150">
        <f>IF(INFO!B8&gt;2,3,"")</f>
        <v>3</v>
      </c>
      <c r="B9" s="151" t="str">
        <f>VLOOKUP(A9,saisie!B$7:AL$26,2,0)</f>
        <v>STBB</v>
      </c>
      <c r="C9" s="152">
        <f>VLOOKUP(A9,saisie!B$7:AL$26,3,0)</f>
        <v>1301117</v>
      </c>
      <c r="D9" s="153" t="str">
        <f>VLOOKUP(A9,saisie!B$7:AL$26,4,0)</f>
        <v>LACROIX Lauriane</v>
      </c>
      <c r="E9" s="154">
        <f>VLOOKUP(A9,saisie!B$7:AL$26,5,0)</f>
        <v>97.9</v>
      </c>
      <c r="F9" s="154">
        <f>VLOOKUP(A9,saisie!B$7:AL$26,6,0)</f>
        <v>99.5</v>
      </c>
      <c r="G9" s="154">
        <f>VLOOKUP(A9,saisie!B$7:AL$26,7,0)</f>
        <v>97.8</v>
      </c>
      <c r="H9" s="155">
        <f>VLOOKUP(A9,saisie!B$7:AL$26,8,0)</f>
        <v>295.2</v>
      </c>
      <c r="I9" s="156">
        <f>VLOOKUP(A9,saisie!B$7:AL$26,9,0)</f>
        <v>0</v>
      </c>
      <c r="J9" s="153" t="str">
        <f>VLOOKUP(A9,saisie!B$7:AL$26,10,0)</f>
        <v>VENET Léna</v>
      </c>
      <c r="K9" s="154">
        <f>VLOOKUP(A9,saisie!B$7:AL$26,11,0)</f>
        <v>92.9</v>
      </c>
      <c r="L9" s="154">
        <f>VLOOKUP(A9,saisie!B$7:AL$26,12,0)</f>
        <v>98.1</v>
      </c>
      <c r="M9" s="154">
        <f>VLOOKUP(A9,saisie!B$7:AL$26,13,0)</f>
        <v>95</v>
      </c>
      <c r="N9" s="155">
        <f>VLOOKUP(A9,saisie!B$7:AL$26,14,0)</f>
        <v>286</v>
      </c>
      <c r="O9" s="156">
        <f>VLOOKUP(A9,saisie!B$7:AL$26,15,0)</f>
        <v>0</v>
      </c>
      <c r="P9" s="153" t="str">
        <f>VLOOKUP(A9,saisie!B$7:AL$26,16,0)</f>
        <v>VENET Eric</v>
      </c>
      <c r="Q9" s="154">
        <f>VLOOKUP(A9,saisie!B$7:AL$26,17,0)</f>
        <v>66.099999999999994</v>
      </c>
      <c r="R9" s="154">
        <f>VLOOKUP(A9,saisie!B$7:AL$26,18,0)</f>
        <v>76.8</v>
      </c>
      <c r="S9" s="154">
        <f>VLOOKUP(A9,saisie!B$7:AL$26,19,0)</f>
        <v>79.599999999999994</v>
      </c>
      <c r="T9" s="155">
        <f>VLOOKUP(A9,saisie!B$7:AL$26,20,0)</f>
        <v>222.49999999999997</v>
      </c>
      <c r="U9" s="156">
        <f>VLOOKUP(A9,saisie!B$7:AL$26,21,0)</f>
        <v>0</v>
      </c>
      <c r="V9" s="153" t="str">
        <f>VLOOKUP(A9,saisie!B$7:AL$26,22,0)</f>
        <v>DHONT Hugo</v>
      </c>
      <c r="W9" s="154">
        <f>VLOOKUP(A9,saisie!B$7:AL$26,23,0)</f>
        <v>97.9</v>
      </c>
      <c r="X9" s="154">
        <f>VLOOKUP(A9,saisie!B$7:AL$26,24,0)</f>
        <v>97.1</v>
      </c>
      <c r="Y9" s="154">
        <f>VLOOKUP(A9,saisie!B$7:AL$26,25,0)</f>
        <v>95.2</v>
      </c>
      <c r="Z9" s="155">
        <f>VLOOKUP(A9,saisie!B$7:AL$26,26,0)</f>
        <v>290.2</v>
      </c>
      <c r="AA9" s="156">
        <f>VLOOKUP(A9,saisie!B$7:AL$26,27,0)</f>
        <v>0</v>
      </c>
      <c r="AB9" s="153" t="str">
        <f>VLOOKUP(A9,saisie!B$7:AL$26,28,0)</f>
        <v>MARAIS Alexis</v>
      </c>
      <c r="AC9" s="154">
        <f>VLOOKUP(A9,saisie!B$7:AL$26,29,0)</f>
        <v>101.2</v>
      </c>
      <c r="AD9" s="154">
        <f>VLOOKUP(A9,saisie!B$7:AL$26,30,0)</f>
        <v>102.3</v>
      </c>
      <c r="AE9" s="154">
        <f>VLOOKUP(A9,saisie!B$7:AL$26,31,0)</f>
        <v>100.4</v>
      </c>
      <c r="AF9" s="155">
        <f>VLOOKUP(A9,saisie!B$7:AL$26,32,0)</f>
        <v>303.89999999999998</v>
      </c>
      <c r="AG9" s="156">
        <f>VLOOKUP(A9,saisie!B$7:AL$26,33,0)</f>
        <v>0</v>
      </c>
      <c r="AH9" s="150">
        <f>VLOOKUP(A9,saisie!B$7:AL$26,34,0)</f>
        <v>1397.8000000000002</v>
      </c>
      <c r="AI9" s="157">
        <f>VLOOKUP(A9,saisie!B$7:AL$26,35,0)</f>
        <v>0</v>
      </c>
      <c r="AJ9" s="158"/>
    </row>
    <row r="10" spans="1:37" ht="153" customHeight="1">
      <c r="A10" s="150">
        <f>IF(INFO!B8&gt;3,4,"")</f>
        <v>4</v>
      </c>
      <c r="B10" s="151" t="str">
        <f>VLOOKUP(A10,saisie!B$7:AL$26,2,0)</f>
        <v>CTB</v>
      </c>
      <c r="C10" s="152">
        <f>VLOOKUP(A10,saisie!B$7:AL$26,3,0)</f>
        <v>1369050</v>
      </c>
      <c r="D10" s="153" t="str">
        <f>VLOOKUP(A10,saisie!B$7:AL$26,4,0)</f>
        <v>DUPERRAI LAINE Eliott</v>
      </c>
      <c r="E10" s="154">
        <f>VLOOKUP(A10,saisie!B$7:AL$26,5,0)</f>
        <v>88.8</v>
      </c>
      <c r="F10" s="154">
        <f>VLOOKUP(A10,saisie!B$7:AL$26,6,0)</f>
        <v>91.5</v>
      </c>
      <c r="G10" s="154">
        <f>VLOOKUP(A10,saisie!B$7:AL$26,7,0)</f>
        <v>94.6</v>
      </c>
      <c r="H10" s="155">
        <f>VLOOKUP(A10,saisie!B$7:AL$26,8,0)</f>
        <v>274.89999999999998</v>
      </c>
      <c r="I10" s="156">
        <f>VLOOKUP(A10,saisie!B$7:AL$26,9,0)</f>
        <v>0</v>
      </c>
      <c r="J10" s="153" t="str">
        <f>VLOOKUP(A10,saisie!B$7:AL$26,10,0)</f>
        <v>CORREAUD André</v>
      </c>
      <c r="K10" s="154">
        <f>VLOOKUP(A10,saisie!B$7:AL$26,11,0)</f>
        <v>78.8</v>
      </c>
      <c r="L10" s="154">
        <f>VLOOKUP(A10,saisie!B$7:AL$26,12,0)</f>
        <v>87.1</v>
      </c>
      <c r="M10" s="154">
        <f>VLOOKUP(A10,saisie!B$7:AL$26,13,0)</f>
        <v>83</v>
      </c>
      <c r="N10" s="155">
        <f>VLOOKUP(A10,saisie!B$7:AL$26,14,0)</f>
        <v>248.89999999999998</v>
      </c>
      <c r="O10" s="156">
        <f>VLOOKUP(A10,saisie!B$7:AL$26,15,0)</f>
        <v>0</v>
      </c>
      <c r="P10" s="153" t="str">
        <f>VLOOKUP(A10,saisie!B$7:AL$26,16,0)</f>
        <v>JOUSSERAND-MORNAY Alice</v>
      </c>
      <c r="Q10" s="154">
        <f>VLOOKUP(A10,saisie!B$7:AL$26,17,0)</f>
        <v>90.6</v>
      </c>
      <c r="R10" s="154">
        <f>VLOOKUP(A10,saisie!B$7:AL$26,18,0)</f>
        <v>92.6</v>
      </c>
      <c r="S10" s="154">
        <f>VLOOKUP(A10,saisie!B$7:AL$26,19,0)</f>
        <v>96.7</v>
      </c>
      <c r="T10" s="155">
        <f>VLOOKUP(A10,saisie!B$7:AL$26,20,0)</f>
        <v>279.89999999999998</v>
      </c>
      <c r="U10" s="156">
        <f>VLOOKUP(A10,saisie!B$7:AL$26,21,0)</f>
        <v>0</v>
      </c>
      <c r="V10" s="153" t="str">
        <f>VLOOKUP(A10,saisie!B$7:AL$26,22,0)</f>
        <v>RAUNIER Aurore</v>
      </c>
      <c r="W10" s="154">
        <f>VLOOKUP(A10,saisie!B$7:AL$26,23,0)</f>
        <v>95</v>
      </c>
      <c r="X10" s="154">
        <f>VLOOKUP(A10,saisie!B$7:AL$26,24,0)</f>
        <v>98.9</v>
      </c>
      <c r="Y10" s="154">
        <f>VLOOKUP(A10,saisie!B$7:AL$26,25,0)</f>
        <v>99.9</v>
      </c>
      <c r="Z10" s="155">
        <f>VLOOKUP(A10,saisie!B$7:AL$26,26,0)</f>
        <v>293.8</v>
      </c>
      <c r="AA10" s="156">
        <f>VLOOKUP(A10,saisie!B$7:AL$26,27,0)</f>
        <v>0</v>
      </c>
      <c r="AB10" s="153" t="str">
        <f>VLOOKUP(A10,saisie!B$7:AL$26,28,0)</f>
        <v>KICHENAMA Raphaël</v>
      </c>
      <c r="AC10" s="154">
        <f>VLOOKUP(A10,saisie!B$7:AL$26,29,0)</f>
        <v>96.7</v>
      </c>
      <c r="AD10" s="154">
        <f>VLOOKUP(A10,saisie!B$7:AL$26,30,0)</f>
        <v>97.3</v>
      </c>
      <c r="AE10" s="154">
        <f>VLOOKUP(A10,saisie!B$7:AL$26,31,0)</f>
        <v>99.4</v>
      </c>
      <c r="AF10" s="155">
        <f>VLOOKUP(A10,saisie!B$7:AL$26,32,0)</f>
        <v>293.39999999999998</v>
      </c>
      <c r="AG10" s="156">
        <f>VLOOKUP(A10,saisie!B$7:AL$26,33,0)</f>
        <v>0</v>
      </c>
      <c r="AH10" s="150">
        <f>VLOOKUP(A10,saisie!B$7:AL$26,34,0)</f>
        <v>1390.9</v>
      </c>
      <c r="AI10" s="157">
        <f>VLOOKUP(A10,saisie!B$7:AL$26,35,0)</f>
        <v>0</v>
      </c>
      <c r="AJ10" s="158"/>
    </row>
    <row r="11" spans="1:37" ht="153" customHeight="1">
      <c r="A11" s="150">
        <f>IF(INFO!B8&gt;4,5,"")</f>
        <v>5</v>
      </c>
      <c r="B11" s="151" t="str">
        <f>VLOOKUP(A11,saisie!B$7:AL$26,2,0)</f>
        <v>USO</v>
      </c>
      <c r="C11" s="152">
        <f>VLOOKUP(A11,saisie!B$7:AL$26,3,0)</f>
        <v>1304080</v>
      </c>
      <c r="D11" s="153" t="str">
        <f>VLOOKUP(A11,saisie!B$7:AL$26,4,0)</f>
        <v>BEAUME Didier</v>
      </c>
      <c r="E11" s="154">
        <f>VLOOKUP(A11,saisie!B$7:AL$26,5,0)</f>
        <v>84.9</v>
      </c>
      <c r="F11" s="154">
        <f>VLOOKUP(A11,saisie!B$7:AL$26,6,0)</f>
        <v>85.5</v>
      </c>
      <c r="G11" s="154">
        <f>VLOOKUP(A11,saisie!B$7:AL$26,7,0)</f>
        <v>85.2</v>
      </c>
      <c r="H11" s="155">
        <f>VLOOKUP(A11,saisie!B$7:AL$26,8,0)</f>
        <v>255.60000000000002</v>
      </c>
      <c r="I11" s="156">
        <f>VLOOKUP(A11,saisie!B$7:AL$26,9,0)</f>
        <v>0</v>
      </c>
      <c r="J11" s="153" t="str">
        <f>VLOOKUP(A11,saisie!B$7:AL$26,10,0)</f>
        <v>BEAUME Célia</v>
      </c>
      <c r="K11" s="154">
        <f>VLOOKUP(A11,saisie!B$7:AL$26,11,0)</f>
        <v>85.9</v>
      </c>
      <c r="L11" s="154">
        <f>VLOOKUP(A11,saisie!B$7:AL$26,12,0)</f>
        <v>89.2</v>
      </c>
      <c r="M11" s="154">
        <f>VLOOKUP(A11,saisie!B$7:AL$26,13,0)</f>
        <v>94.7</v>
      </c>
      <c r="N11" s="155">
        <f>VLOOKUP(A11,saisie!B$7:AL$26,14,0)</f>
        <v>269.8</v>
      </c>
      <c r="O11" s="156">
        <f>VLOOKUP(A11,saisie!B$7:AL$26,15,0)</f>
        <v>0</v>
      </c>
      <c r="P11" s="153" t="str">
        <f>VLOOKUP(A11,saisie!B$7:AL$26,16,0)</f>
        <v>LANDIM MONTEIRO Frédérique</v>
      </c>
      <c r="Q11" s="154">
        <f>VLOOKUP(A11,saisie!B$7:AL$26,17,0)</f>
        <v>90.4</v>
      </c>
      <c r="R11" s="154">
        <f>VLOOKUP(A11,saisie!B$7:AL$26,18,0)</f>
        <v>94.3</v>
      </c>
      <c r="S11" s="154">
        <f>VLOOKUP(A11,saisie!B$7:AL$26,19,0)</f>
        <v>95.7</v>
      </c>
      <c r="T11" s="155">
        <f>VLOOKUP(A11,saisie!B$7:AL$26,20,0)</f>
        <v>280.39999999999998</v>
      </c>
      <c r="U11" s="156">
        <f>VLOOKUP(A11,saisie!B$7:AL$26,21,0)</f>
        <v>0</v>
      </c>
      <c r="V11" s="153" t="str">
        <f>VLOOKUP(A11,saisie!B$7:AL$26,22,0)</f>
        <v>VEIL Guillaume</v>
      </c>
      <c r="W11" s="154">
        <f>VLOOKUP(A11,saisie!B$7:AL$26,23,0)</f>
        <v>81.099999999999994</v>
      </c>
      <c r="X11" s="154">
        <f>VLOOKUP(A11,saisie!B$7:AL$26,24,0)</f>
        <v>90.7</v>
      </c>
      <c r="Y11" s="154">
        <f>VLOOKUP(A11,saisie!B$7:AL$26,25,0)</f>
        <v>93.1</v>
      </c>
      <c r="Z11" s="155">
        <f>VLOOKUP(A11,saisie!B$7:AL$26,26,0)</f>
        <v>264.89999999999998</v>
      </c>
      <c r="AA11" s="156">
        <f>VLOOKUP(A11,saisie!B$7:AL$26,27,0)</f>
        <v>0</v>
      </c>
      <c r="AB11" s="153" t="str">
        <f>VLOOKUP(A11,saisie!B$7:AL$26,28,0)</f>
        <v>VEIL Amaury</v>
      </c>
      <c r="AC11" s="154">
        <f>VLOOKUP(A11,saisie!B$7:AL$26,29,0)</f>
        <v>85.9</v>
      </c>
      <c r="AD11" s="154">
        <f>VLOOKUP(A11,saisie!B$7:AL$26,30,0)</f>
        <v>87.4</v>
      </c>
      <c r="AE11" s="154">
        <f>VLOOKUP(A11,saisie!B$7:AL$26,31,0)</f>
        <v>85.2</v>
      </c>
      <c r="AF11" s="155">
        <f>VLOOKUP(A11,saisie!B$7:AL$26,32,0)</f>
        <v>258.5</v>
      </c>
      <c r="AG11" s="156">
        <f>VLOOKUP(A11,saisie!B$7:AL$26,33,0)</f>
        <v>0</v>
      </c>
      <c r="AH11" s="150">
        <f>VLOOKUP(A11,saisie!B$7:AL$26,34,0)</f>
        <v>1329.2</v>
      </c>
      <c r="AI11" s="157">
        <f>VLOOKUP(A11,saisie!B$7:AL$26,35,0)</f>
        <v>0</v>
      </c>
      <c r="AJ11" s="158"/>
    </row>
    <row r="12" spans="1:37" ht="153" customHeight="1">
      <c r="A12" s="150">
        <f>IF(INFO!B8&gt;5,6,"")</f>
        <v>6</v>
      </c>
      <c r="B12" s="151" t="str">
        <f>VLOOKUP(A12,saisie!B$7:AL$26,2,0)</f>
        <v>ALAT</v>
      </c>
      <c r="C12" s="152">
        <f>VLOOKUP(A12,saisie!B$7:AL$26,3,0)</f>
        <v>1342141</v>
      </c>
      <c r="D12" s="153" t="str">
        <f>VLOOKUP(A12,saisie!B$7:AL$26,4,0)</f>
        <v>FORGE Mathys</v>
      </c>
      <c r="E12" s="154">
        <f>VLOOKUP(A12,saisie!B$7:AL$26,5,0)</f>
        <v>85.6</v>
      </c>
      <c r="F12" s="154">
        <f>VLOOKUP(A12,saisie!B$7:AL$26,6,0)</f>
        <v>89.7</v>
      </c>
      <c r="G12" s="154">
        <f>VLOOKUP(A12,saisie!B$7:AL$26,7,0)</f>
        <v>91.9</v>
      </c>
      <c r="H12" s="155">
        <f>VLOOKUP(A12,saisie!B$7:AL$26,8,0)</f>
        <v>267.20000000000005</v>
      </c>
      <c r="I12" s="156">
        <f>VLOOKUP(A12,saisie!B$7:AL$26,9,0)</f>
        <v>0</v>
      </c>
      <c r="J12" s="153" t="str">
        <f>VLOOKUP(A12,saisie!B$7:AL$26,10,0)</f>
        <v>CHAIZE Arthur</v>
      </c>
      <c r="K12" s="154">
        <f>VLOOKUP(A12,saisie!B$7:AL$26,11,0)</f>
        <v>80.3</v>
      </c>
      <c r="L12" s="154">
        <f>VLOOKUP(A12,saisie!B$7:AL$26,12,0)</f>
        <v>77.400000000000006</v>
      </c>
      <c r="M12" s="154">
        <f>VLOOKUP(A12,saisie!B$7:AL$26,13,0)</f>
        <v>81.599999999999994</v>
      </c>
      <c r="N12" s="155">
        <f>VLOOKUP(A12,saisie!B$7:AL$26,14,0)</f>
        <v>239.29999999999998</v>
      </c>
      <c r="O12" s="156">
        <f>VLOOKUP(A12,saisie!B$7:AL$26,15,0)</f>
        <v>0</v>
      </c>
      <c r="P12" s="153" t="str">
        <f>VLOOKUP(A12,saisie!B$7:AL$26,16,0)</f>
        <v>MAYOT Tiphaine</v>
      </c>
      <c r="Q12" s="154">
        <f>VLOOKUP(A12,saisie!B$7:AL$26,17,0)</f>
        <v>99.7</v>
      </c>
      <c r="R12" s="154">
        <f>VLOOKUP(A12,saisie!B$7:AL$26,18,0)</f>
        <v>98.4</v>
      </c>
      <c r="S12" s="154">
        <f>VLOOKUP(A12,saisie!B$7:AL$26,19,0)</f>
        <v>97.1</v>
      </c>
      <c r="T12" s="155">
        <f>VLOOKUP(A12,saisie!B$7:AL$26,20,0)</f>
        <v>295.20000000000005</v>
      </c>
      <c r="U12" s="156">
        <f>VLOOKUP(A12,saisie!B$7:AL$26,21,0)</f>
        <v>0</v>
      </c>
      <c r="V12" s="153" t="str">
        <f>VLOOKUP(A12,saisie!B$7:AL$26,22,0)</f>
        <v>MAZILLE Axelle</v>
      </c>
      <c r="W12" s="154">
        <f>VLOOKUP(A12,saisie!B$7:AL$26,23,0)</f>
        <v>75.900000000000006</v>
      </c>
      <c r="X12" s="154">
        <f>VLOOKUP(A12,saisie!B$7:AL$26,24,0)</f>
        <v>92</v>
      </c>
      <c r="Y12" s="154">
        <f>VLOOKUP(A12,saisie!B$7:AL$26,25,0)</f>
        <v>83.7</v>
      </c>
      <c r="Z12" s="155">
        <f>VLOOKUP(A12,saisie!B$7:AL$26,26,0)</f>
        <v>251.60000000000002</v>
      </c>
      <c r="AA12" s="156">
        <f>VLOOKUP(A12,saisie!B$7:AL$26,27,0)</f>
        <v>0</v>
      </c>
      <c r="AB12" s="153" t="str">
        <f>VLOOKUP(A12,saisie!B$7:AL$26,28,0)</f>
        <v>LAUNAY Aloïs</v>
      </c>
      <c r="AC12" s="154">
        <f>VLOOKUP(A12,saisie!B$7:AL$26,29,0)</f>
        <v>89.7</v>
      </c>
      <c r="AD12" s="154">
        <f>VLOOKUP(A12,saisie!B$7:AL$26,30,0)</f>
        <v>89.4</v>
      </c>
      <c r="AE12" s="154">
        <f>VLOOKUP(A12,saisie!B$7:AL$26,31,0)</f>
        <v>95.2</v>
      </c>
      <c r="AF12" s="155">
        <f>VLOOKUP(A12,saisie!B$7:AL$26,32,0)</f>
        <v>274.3</v>
      </c>
      <c r="AG12" s="156">
        <f>VLOOKUP(A12,saisie!B$7:AL$26,33,0)</f>
        <v>0</v>
      </c>
      <c r="AH12" s="150">
        <f>VLOOKUP(A12,saisie!B$7:AL$26,34,0)</f>
        <v>1327.6000000000001</v>
      </c>
      <c r="AI12" s="157">
        <f>VLOOKUP(A12,saisie!B$7:AL$26,35,0)</f>
        <v>0</v>
      </c>
      <c r="AJ12" s="158"/>
    </row>
    <row r="13" spans="1:37" ht="153" customHeight="1">
      <c r="A13" s="150">
        <f>IF(INFO!B8&gt;6,7,"")</f>
        <v>7</v>
      </c>
      <c r="B13" s="151" t="str">
        <f>VLOOKUP(A13,saisie!B$7:AL$26,2,0)</f>
        <v>CR</v>
      </c>
      <c r="C13" s="152">
        <f>VLOOKUP(A13,saisie!B$7:AL$26,3,0)</f>
        <v>1342055</v>
      </c>
      <c r="D13" s="153" t="str">
        <f>VLOOKUP(A13,saisie!B$7:AL$26,4,0)</f>
        <v>POITOUX Jean-Marc</v>
      </c>
      <c r="E13" s="154">
        <f>VLOOKUP(A13,saisie!B$7:AL$26,5,0)</f>
        <v>83.9</v>
      </c>
      <c r="F13" s="154">
        <f>VLOOKUP(A13,saisie!B$7:AL$26,6,0)</f>
        <v>84.1</v>
      </c>
      <c r="G13" s="154">
        <f>VLOOKUP(A13,saisie!B$7:AL$26,7,0)</f>
        <v>89.5</v>
      </c>
      <c r="H13" s="155">
        <f>VLOOKUP(A13,saisie!B$7:AL$26,8,0)</f>
        <v>257.5</v>
      </c>
      <c r="I13" s="156">
        <f>VLOOKUP(A13,saisie!B$7:AL$26,9,0)</f>
        <v>0</v>
      </c>
      <c r="J13" s="153" t="str">
        <f>VLOOKUP(A13,saisie!B$7:AL$26,10,0)</f>
        <v>GUYON Loïc</v>
      </c>
      <c r="K13" s="154">
        <f>VLOOKUP(A13,saisie!B$7:AL$26,11,0)</f>
        <v>91.3</v>
      </c>
      <c r="L13" s="154">
        <f>VLOOKUP(A13,saisie!B$7:AL$26,12,0)</f>
        <v>90.9</v>
      </c>
      <c r="M13" s="154">
        <f>VLOOKUP(A13,saisie!B$7:AL$26,13,0)</f>
        <v>90.9</v>
      </c>
      <c r="N13" s="155">
        <f>VLOOKUP(A13,saisie!B$7:AL$26,14,0)</f>
        <v>273.10000000000002</v>
      </c>
      <c r="O13" s="156">
        <f>VLOOKUP(A13,saisie!B$7:AL$26,15,0)</f>
        <v>0</v>
      </c>
      <c r="P13" s="153" t="str">
        <f>VLOOKUP(A13,saisie!B$7:AL$26,16,0)</f>
        <v>NICOLLET Léa</v>
      </c>
      <c r="Q13" s="154">
        <f>VLOOKUP(A13,saisie!B$7:AL$26,17,0)</f>
        <v>80.8</v>
      </c>
      <c r="R13" s="154">
        <f>VLOOKUP(A13,saisie!B$7:AL$26,18,0)</f>
        <v>81</v>
      </c>
      <c r="S13" s="154">
        <f>VLOOKUP(A13,saisie!B$7:AL$26,19,0)</f>
        <v>83.9</v>
      </c>
      <c r="T13" s="155">
        <f>VLOOKUP(A13,saisie!B$7:AL$26,20,0)</f>
        <v>245.70000000000002</v>
      </c>
      <c r="U13" s="156">
        <f>VLOOKUP(A13,saisie!B$7:AL$26,21,0)</f>
        <v>0</v>
      </c>
      <c r="V13" s="153" t="str">
        <f>VLOOKUP(A13,saisie!B$7:AL$26,22,0)</f>
        <v>DESCHANEL Timéo</v>
      </c>
      <c r="W13" s="154">
        <f>VLOOKUP(A13,saisie!B$7:AL$26,23,0)</f>
        <v>86</v>
      </c>
      <c r="X13" s="154">
        <f>VLOOKUP(A13,saisie!B$7:AL$26,24,0)</f>
        <v>75.7</v>
      </c>
      <c r="Y13" s="154">
        <f>VLOOKUP(A13,saisie!B$7:AL$26,25,0)</f>
        <v>75</v>
      </c>
      <c r="Z13" s="155">
        <f>VLOOKUP(A13,saisie!B$7:AL$26,26,0)</f>
        <v>236.7</v>
      </c>
      <c r="AA13" s="156">
        <f>VLOOKUP(A13,saisie!B$7:AL$26,27,0)</f>
        <v>0</v>
      </c>
      <c r="AB13" s="153" t="str">
        <f>VLOOKUP(A13,saisie!B$7:AL$26,28,0)</f>
        <v>LEONARD Matias</v>
      </c>
      <c r="AC13" s="154">
        <f>VLOOKUP(A13,saisie!B$7:AL$26,29,0)</f>
        <v>84.4</v>
      </c>
      <c r="AD13" s="154">
        <f>VLOOKUP(A13,saisie!B$7:AL$26,30,0)</f>
        <v>82.5</v>
      </c>
      <c r="AE13" s="154">
        <f>VLOOKUP(A13,saisie!B$7:AL$26,31,0)</f>
        <v>74.8</v>
      </c>
      <c r="AF13" s="155">
        <f>VLOOKUP(A13,saisie!B$7:AL$26,32,0)</f>
        <v>241.7</v>
      </c>
      <c r="AG13" s="156">
        <f>VLOOKUP(A13,saisie!B$7:AL$26,33,0)</f>
        <v>0</v>
      </c>
      <c r="AH13" s="150">
        <f>VLOOKUP(A13,saisie!B$7:AL$26,34,0)</f>
        <v>1254.7</v>
      </c>
      <c r="AI13" s="157">
        <f>VLOOKUP(A13,saisie!B$7:AL$26,35,0)</f>
        <v>0</v>
      </c>
      <c r="AJ13" s="158"/>
    </row>
    <row r="14" spans="1:37" ht="153" customHeight="1">
      <c r="A14" s="150">
        <f>IF(INFO!B8&gt;7,8,"")</f>
        <v>8</v>
      </c>
      <c r="B14" s="151" t="str">
        <f>VLOOKUP(A14,saisie!B$7:AL$26,2,0)</f>
        <v>CTPS</v>
      </c>
      <c r="C14" s="152">
        <f>VLOOKUP(A14,saisie!B$7:AL$26,3,0)</f>
        <v>1342010</v>
      </c>
      <c r="D14" s="153" t="str">
        <f>VLOOKUP(A14,saisie!B$7:AL$26,4,0)</f>
        <v>DUQUENOIS Christophe</v>
      </c>
      <c r="E14" s="154">
        <f>VLOOKUP(A14,saisie!B$7:AL$26,5,0)</f>
        <v>76.5</v>
      </c>
      <c r="F14" s="154">
        <f>VLOOKUP(A14,saisie!B$7:AL$26,6,0)</f>
        <v>79.400000000000006</v>
      </c>
      <c r="G14" s="154">
        <f>VLOOKUP(A14,saisie!B$7:AL$26,7,0)</f>
        <v>68</v>
      </c>
      <c r="H14" s="155">
        <f>VLOOKUP(A14,saisie!B$7:AL$26,8,0)</f>
        <v>223.9</v>
      </c>
      <c r="I14" s="156">
        <f>VLOOKUP(A14,saisie!B$7:AL$26,9,0)</f>
        <v>0</v>
      </c>
      <c r="J14" s="153" t="str">
        <f>VLOOKUP(A14,saisie!B$7:AL$26,10,0)</f>
        <v>DIAS Erwann</v>
      </c>
      <c r="K14" s="154">
        <f>VLOOKUP(A14,saisie!B$7:AL$26,11,0)</f>
        <v>81.5</v>
      </c>
      <c r="L14" s="154">
        <f>VLOOKUP(A14,saisie!B$7:AL$26,12,0)</f>
        <v>87.9</v>
      </c>
      <c r="M14" s="154">
        <f>VLOOKUP(A14,saisie!B$7:AL$26,13,0)</f>
        <v>93.1</v>
      </c>
      <c r="N14" s="155">
        <f>VLOOKUP(A14,saisie!B$7:AL$26,14,0)</f>
        <v>262.5</v>
      </c>
      <c r="O14" s="156">
        <f>VLOOKUP(A14,saisie!B$7:AL$26,15,0)</f>
        <v>0</v>
      </c>
      <c r="P14" s="153" t="str">
        <f>VLOOKUP(A14,saisie!B$7:AL$26,16,0)</f>
        <v>BEAL Bruno</v>
      </c>
      <c r="Q14" s="154">
        <f>VLOOKUP(A14,saisie!B$7:AL$26,17,0)</f>
        <v>60.1</v>
      </c>
      <c r="R14" s="154">
        <f>VLOOKUP(A14,saisie!B$7:AL$26,18,0)</f>
        <v>66.8</v>
      </c>
      <c r="S14" s="154">
        <f>VLOOKUP(A14,saisie!B$7:AL$26,19,0)</f>
        <v>67</v>
      </c>
      <c r="T14" s="155">
        <f>VLOOKUP(A14,saisie!B$7:AL$26,20,0)</f>
        <v>193.9</v>
      </c>
      <c r="U14" s="156">
        <f>VLOOKUP(A14,saisie!B$7:AL$26,21,0)</f>
        <v>0</v>
      </c>
      <c r="V14" s="153" t="str">
        <f>VLOOKUP(A14,saisie!B$7:AL$26,22,0)</f>
        <v>PÈRE Laurent</v>
      </c>
      <c r="W14" s="154">
        <f>VLOOKUP(A14,saisie!B$7:AL$26,23,0)</f>
        <v>79.3</v>
      </c>
      <c r="X14" s="154">
        <f>VLOOKUP(A14,saisie!B$7:AL$26,24,0)</f>
        <v>73.599999999999994</v>
      </c>
      <c r="Y14" s="154">
        <f>VLOOKUP(A14,saisie!B$7:AL$26,25,0)</f>
        <v>79.599999999999994</v>
      </c>
      <c r="Z14" s="155">
        <f>VLOOKUP(A14,saisie!B$7:AL$26,26,0)</f>
        <v>232.49999999999997</v>
      </c>
      <c r="AA14" s="156">
        <f>VLOOKUP(A14,saisie!B$7:AL$26,27,0)</f>
        <v>0</v>
      </c>
      <c r="AB14" s="153" t="str">
        <f>VLOOKUP(A14,saisie!B$7:AL$26,28,0)</f>
        <v>DURIEUX Patrick</v>
      </c>
      <c r="AC14" s="154">
        <f>VLOOKUP(A14,saisie!B$7:AL$26,29,0)</f>
        <v>69.5</v>
      </c>
      <c r="AD14" s="154">
        <f>VLOOKUP(A14,saisie!B$7:AL$26,30,0)</f>
        <v>50.8</v>
      </c>
      <c r="AE14" s="154">
        <f>VLOOKUP(A14,saisie!B$7:AL$26,31,0)</f>
        <v>61.9</v>
      </c>
      <c r="AF14" s="155">
        <f>VLOOKUP(A14,saisie!B$7:AL$26,32,0)</f>
        <v>182.2</v>
      </c>
      <c r="AG14" s="156">
        <f>VLOOKUP(A14,saisie!B$7:AL$26,33,0)</f>
        <v>0</v>
      </c>
      <c r="AH14" s="150">
        <f>VLOOKUP(A14,saisie!B$7:AL$26,34,0)</f>
        <v>1095</v>
      </c>
      <c r="AI14" s="157">
        <f>VLOOKUP(A14,saisie!B$7:AL$26,35,0)</f>
        <v>0</v>
      </c>
      <c r="AJ14" s="158"/>
    </row>
    <row r="15" spans="1:37" ht="153" customHeight="1">
      <c r="A15" s="150" t="str">
        <f>IF(INFO!B8&gt;8,9,"")</f>
        <v/>
      </c>
      <c r="B15" s="151" t="e">
        <f>VLOOKUP(A15,saisie!B$7:AL$26,2,0)</f>
        <v>#N/A</v>
      </c>
      <c r="C15" s="152" t="e">
        <f>VLOOKUP(A15,saisie!B$7:AL$26,3,0)</f>
        <v>#N/A</v>
      </c>
      <c r="D15" s="153" t="e">
        <f>VLOOKUP(A15,saisie!B$7:AL$26,4,0)</f>
        <v>#N/A</v>
      </c>
      <c r="E15" s="154" t="e">
        <f>VLOOKUP(A15,saisie!B$7:AL$26,5,0)</f>
        <v>#N/A</v>
      </c>
      <c r="F15" s="154" t="e">
        <f>VLOOKUP(A15,saisie!B$7:AL$26,6,0)</f>
        <v>#N/A</v>
      </c>
      <c r="G15" s="154" t="e">
        <f>VLOOKUP(A15,saisie!B$7:AL$26,7,0)</f>
        <v>#N/A</v>
      </c>
      <c r="H15" s="155" t="e">
        <f>VLOOKUP(A15,saisie!B$7:AL$26,8,0)</f>
        <v>#N/A</v>
      </c>
      <c r="I15" s="156" t="e">
        <f>VLOOKUP(A15,saisie!B$7:AL$26,9,0)</f>
        <v>#N/A</v>
      </c>
      <c r="J15" s="153" t="e">
        <f>VLOOKUP(A15,saisie!B$7:AL$26,10,0)</f>
        <v>#N/A</v>
      </c>
      <c r="K15" s="154" t="e">
        <f>VLOOKUP(A15,saisie!B$7:AL$26,11,0)</f>
        <v>#N/A</v>
      </c>
      <c r="L15" s="154" t="e">
        <f>VLOOKUP(A15,saisie!B$7:AL$26,12,0)</f>
        <v>#N/A</v>
      </c>
      <c r="M15" s="154" t="e">
        <f>VLOOKUP(A15,saisie!B$7:AL$26,13,0)</f>
        <v>#N/A</v>
      </c>
      <c r="N15" s="155" t="e">
        <f>VLOOKUP(A15,saisie!B$7:AL$26,14,0)</f>
        <v>#N/A</v>
      </c>
      <c r="O15" s="156" t="e">
        <f>VLOOKUP(A15,saisie!B$7:AL$26,15,0)</f>
        <v>#N/A</v>
      </c>
      <c r="P15" s="153" t="e">
        <f>VLOOKUP(A15,saisie!B$7:AL$26,16,0)</f>
        <v>#N/A</v>
      </c>
      <c r="Q15" s="154" t="e">
        <f>VLOOKUP(A15,saisie!B$7:AL$26,17,0)</f>
        <v>#N/A</v>
      </c>
      <c r="R15" s="154" t="e">
        <f>VLOOKUP(A15,saisie!B$7:AL$26,18,0)</f>
        <v>#N/A</v>
      </c>
      <c r="S15" s="154" t="e">
        <f>VLOOKUP(A15,saisie!B$7:AL$26,19,0)</f>
        <v>#N/A</v>
      </c>
      <c r="T15" s="155" t="e">
        <f>VLOOKUP(A15,saisie!B$7:AL$26,20,0)</f>
        <v>#N/A</v>
      </c>
      <c r="U15" s="156" t="e">
        <f>VLOOKUP(A15,saisie!B$7:AL$26,21,0)</f>
        <v>#N/A</v>
      </c>
      <c r="V15" s="153" t="e">
        <f>VLOOKUP(A15,saisie!B$7:AL$26,22,0)</f>
        <v>#N/A</v>
      </c>
      <c r="W15" s="154" t="e">
        <f>VLOOKUP(A15,saisie!B$7:AL$26,23,0)</f>
        <v>#N/A</v>
      </c>
      <c r="X15" s="154" t="e">
        <f>VLOOKUP(A15,saisie!B$7:AL$26,24,0)</f>
        <v>#N/A</v>
      </c>
      <c r="Y15" s="154" t="e">
        <f>VLOOKUP(A15,saisie!B$7:AL$26,25,0)</f>
        <v>#N/A</v>
      </c>
      <c r="Z15" s="155" t="e">
        <f>VLOOKUP(A15,saisie!B$7:AL$26,26,0)</f>
        <v>#N/A</v>
      </c>
      <c r="AA15" s="156" t="e">
        <f>VLOOKUP(A15,saisie!B$7:AL$26,27,0)</f>
        <v>#N/A</v>
      </c>
      <c r="AB15" s="153" t="e">
        <f>VLOOKUP(A15,saisie!B$7:AL$26,28,0)</f>
        <v>#N/A</v>
      </c>
      <c r="AC15" s="154" t="e">
        <f>VLOOKUP(A15,saisie!B$7:AL$26,29,0)</f>
        <v>#N/A</v>
      </c>
      <c r="AD15" s="154" t="e">
        <f>VLOOKUP(A15,saisie!B$7:AL$26,30,0)</f>
        <v>#N/A</v>
      </c>
      <c r="AE15" s="154" t="e">
        <f>VLOOKUP(A15,saisie!B$7:AL$26,31,0)</f>
        <v>#N/A</v>
      </c>
      <c r="AF15" s="155" t="e">
        <f>VLOOKUP(A15,saisie!B$7:AL$26,32,0)</f>
        <v>#N/A</v>
      </c>
      <c r="AG15" s="156" t="e">
        <f>VLOOKUP(A15,saisie!B$7:AL$26,33,0)</f>
        <v>#N/A</v>
      </c>
      <c r="AH15" s="150" t="e">
        <f>VLOOKUP(A15,saisie!B$7:AL$26,34,0)</f>
        <v>#N/A</v>
      </c>
      <c r="AI15" s="157" t="e">
        <f>VLOOKUP(A15,saisie!B$7:AL$26,35,0)</f>
        <v>#N/A</v>
      </c>
      <c r="AJ15" s="158"/>
    </row>
    <row r="16" spans="1:37" ht="153" customHeight="1">
      <c r="A16" s="150" t="str">
        <f>IF(INFO!B8&gt;9,10,"")</f>
        <v/>
      </c>
      <c r="B16" s="151" t="e">
        <f>VLOOKUP(A16,saisie!B$7:AL$26,2,0)</f>
        <v>#N/A</v>
      </c>
      <c r="C16" s="152" t="e">
        <f>VLOOKUP(A16,saisie!B$7:AL$26,3,0)</f>
        <v>#N/A</v>
      </c>
      <c r="D16" s="153" t="e">
        <f>VLOOKUP(A16,saisie!B$7:AL$26,4,0)</f>
        <v>#N/A</v>
      </c>
      <c r="E16" s="154" t="e">
        <f>VLOOKUP(A16,saisie!B$7:AL$26,5,0)</f>
        <v>#N/A</v>
      </c>
      <c r="F16" s="154" t="e">
        <f>VLOOKUP(A16,saisie!B$7:AL$26,6,0)</f>
        <v>#N/A</v>
      </c>
      <c r="G16" s="154" t="e">
        <f>VLOOKUP(A16,saisie!B$7:AL$26,7,0)</f>
        <v>#N/A</v>
      </c>
      <c r="H16" s="155" t="e">
        <f>VLOOKUP(A16,saisie!B$7:AL$26,8,0)</f>
        <v>#N/A</v>
      </c>
      <c r="I16" s="156" t="e">
        <f>VLOOKUP(A16,saisie!B$7:AL$26,9,0)</f>
        <v>#N/A</v>
      </c>
      <c r="J16" s="153" t="e">
        <f>VLOOKUP(A16,saisie!B$7:AL$26,10,0)</f>
        <v>#N/A</v>
      </c>
      <c r="K16" s="154" t="e">
        <f>VLOOKUP(A16,saisie!B$7:AL$26,11,0)</f>
        <v>#N/A</v>
      </c>
      <c r="L16" s="154" t="e">
        <f>VLOOKUP(A16,saisie!B$7:AL$26,12,0)</f>
        <v>#N/A</v>
      </c>
      <c r="M16" s="154" t="e">
        <f>VLOOKUP(A16,saisie!B$7:AL$26,13,0)</f>
        <v>#N/A</v>
      </c>
      <c r="N16" s="155" t="e">
        <f>VLOOKUP(A16,saisie!B$7:AL$26,14,0)</f>
        <v>#N/A</v>
      </c>
      <c r="O16" s="156" t="e">
        <f>VLOOKUP(A16,saisie!B$7:AL$26,15,0)</f>
        <v>#N/A</v>
      </c>
      <c r="P16" s="153" t="e">
        <f>VLOOKUP(A16,saisie!B$7:AL$26,16,0)</f>
        <v>#N/A</v>
      </c>
      <c r="Q16" s="154" t="e">
        <f>VLOOKUP(A16,saisie!B$7:AL$26,17,0)</f>
        <v>#N/A</v>
      </c>
      <c r="R16" s="154" t="e">
        <f>VLOOKUP(A16,saisie!B$7:AL$26,18,0)</f>
        <v>#N/A</v>
      </c>
      <c r="S16" s="154" t="e">
        <f>VLOOKUP(A16,saisie!B$7:AL$26,19,0)</f>
        <v>#N/A</v>
      </c>
      <c r="T16" s="155" t="e">
        <f>VLOOKUP(A16,saisie!B$7:AL$26,20,0)</f>
        <v>#N/A</v>
      </c>
      <c r="U16" s="156" t="e">
        <f>VLOOKUP(A16,saisie!B$7:AL$26,21,0)</f>
        <v>#N/A</v>
      </c>
      <c r="V16" s="153" t="e">
        <f>VLOOKUP(A16,saisie!B$7:AL$26,22,0)</f>
        <v>#N/A</v>
      </c>
      <c r="W16" s="154" t="e">
        <f>VLOOKUP(A16,saisie!B$7:AL$26,23,0)</f>
        <v>#N/A</v>
      </c>
      <c r="X16" s="154" t="e">
        <f>VLOOKUP(A16,saisie!B$7:AL$26,24,0)</f>
        <v>#N/A</v>
      </c>
      <c r="Y16" s="154" t="e">
        <f>VLOOKUP(A16,saisie!B$7:AL$26,25,0)</f>
        <v>#N/A</v>
      </c>
      <c r="Z16" s="155" t="e">
        <f>VLOOKUP(A16,saisie!B$7:AL$26,26,0)</f>
        <v>#N/A</v>
      </c>
      <c r="AA16" s="156" t="e">
        <f>VLOOKUP(A16,saisie!B$7:AL$26,27,0)</f>
        <v>#N/A</v>
      </c>
      <c r="AB16" s="153" t="e">
        <f>VLOOKUP(A16,saisie!B$7:AL$26,28,0)</f>
        <v>#N/A</v>
      </c>
      <c r="AC16" s="154" t="e">
        <f>VLOOKUP(A16,saisie!B$7:AL$26,29,0)</f>
        <v>#N/A</v>
      </c>
      <c r="AD16" s="154" t="e">
        <f>VLOOKUP(A16,saisie!B$7:AL$26,30,0)</f>
        <v>#N/A</v>
      </c>
      <c r="AE16" s="154" t="e">
        <f>VLOOKUP(A16,saisie!B$7:AL$26,31,0)</f>
        <v>#N/A</v>
      </c>
      <c r="AF16" s="155" t="e">
        <f>VLOOKUP(A16,saisie!B$7:AL$26,32,0)</f>
        <v>#N/A</v>
      </c>
      <c r="AG16" s="156" t="e">
        <f>VLOOKUP(A16,saisie!B$7:AL$26,33,0)</f>
        <v>#N/A</v>
      </c>
      <c r="AH16" s="150" t="e">
        <f>VLOOKUP(A16,saisie!B$7:AL$26,34,0)</f>
        <v>#N/A</v>
      </c>
      <c r="AI16" s="157" t="e">
        <f>VLOOKUP(A16,saisie!B$7:AL$26,35,0)</f>
        <v>#N/A</v>
      </c>
      <c r="AJ16" s="158"/>
    </row>
    <row r="17" spans="1:36" ht="153" customHeight="1">
      <c r="A17" s="150" t="str">
        <f>IF(INFO!B8&gt;10,11,"")</f>
        <v/>
      </c>
      <c r="B17" s="151" t="e">
        <f>VLOOKUP(A17,saisie!B$7:AL$26,2,0)</f>
        <v>#N/A</v>
      </c>
      <c r="C17" s="152" t="e">
        <f>VLOOKUP(A17,saisie!B$7:AL$26,3,0)</f>
        <v>#N/A</v>
      </c>
      <c r="D17" s="153" t="e">
        <f>VLOOKUP(A17,saisie!B$7:AL$26,4,0)</f>
        <v>#N/A</v>
      </c>
      <c r="E17" s="154" t="e">
        <f>VLOOKUP(A17,saisie!B$7:AL$26,5,0)</f>
        <v>#N/A</v>
      </c>
      <c r="F17" s="154" t="e">
        <f>VLOOKUP(A17,saisie!B$7:AL$26,6,0)</f>
        <v>#N/A</v>
      </c>
      <c r="G17" s="154" t="e">
        <f>VLOOKUP(A17,saisie!B$7:AL$26,7,0)</f>
        <v>#N/A</v>
      </c>
      <c r="H17" s="155" t="e">
        <f>VLOOKUP(A17,saisie!B$7:AL$26,8,0)</f>
        <v>#N/A</v>
      </c>
      <c r="I17" s="156" t="e">
        <f>VLOOKUP(A17,saisie!B$7:AL$26,9,0)</f>
        <v>#N/A</v>
      </c>
      <c r="J17" s="153" t="e">
        <f>VLOOKUP(A17,saisie!B$7:AL$26,10,0)</f>
        <v>#N/A</v>
      </c>
      <c r="K17" s="154" t="e">
        <f>VLOOKUP(A17,saisie!B$7:AL$26,11,0)</f>
        <v>#N/A</v>
      </c>
      <c r="L17" s="154" t="e">
        <f>VLOOKUP(A17,saisie!B$7:AL$26,12,0)</f>
        <v>#N/A</v>
      </c>
      <c r="M17" s="154" t="e">
        <f>VLOOKUP(A17,saisie!B$7:AL$26,13,0)</f>
        <v>#N/A</v>
      </c>
      <c r="N17" s="155" t="e">
        <f>VLOOKUP(A17,saisie!B$7:AL$26,14,0)</f>
        <v>#N/A</v>
      </c>
      <c r="O17" s="156" t="e">
        <f>VLOOKUP(A17,saisie!B$7:AL$26,15,0)</f>
        <v>#N/A</v>
      </c>
      <c r="P17" s="153" t="e">
        <f>VLOOKUP(A17,saisie!B$7:AL$26,16,0)</f>
        <v>#N/A</v>
      </c>
      <c r="Q17" s="154" t="e">
        <f>VLOOKUP(A17,saisie!B$7:AL$26,17,0)</f>
        <v>#N/A</v>
      </c>
      <c r="R17" s="154" t="e">
        <f>VLOOKUP(A17,saisie!B$7:AL$26,18,0)</f>
        <v>#N/A</v>
      </c>
      <c r="S17" s="154" t="e">
        <f>VLOOKUP(A17,saisie!B$7:AL$26,19,0)</f>
        <v>#N/A</v>
      </c>
      <c r="T17" s="155" t="e">
        <f>VLOOKUP(A17,saisie!B$7:AL$26,20,0)</f>
        <v>#N/A</v>
      </c>
      <c r="U17" s="156" t="e">
        <f>VLOOKUP(A17,saisie!B$7:AL$26,21,0)</f>
        <v>#N/A</v>
      </c>
      <c r="V17" s="153" t="e">
        <f>VLOOKUP(A17,saisie!B$7:AL$26,22,0)</f>
        <v>#N/A</v>
      </c>
      <c r="W17" s="154" t="e">
        <f>VLOOKUP(A17,saisie!B$7:AL$26,23,0)</f>
        <v>#N/A</v>
      </c>
      <c r="X17" s="154" t="e">
        <f>VLOOKUP(A17,saisie!B$7:AL$26,24,0)</f>
        <v>#N/A</v>
      </c>
      <c r="Y17" s="154" t="e">
        <f>VLOOKUP(A17,saisie!B$7:AL$26,25,0)</f>
        <v>#N/A</v>
      </c>
      <c r="Z17" s="155" t="e">
        <f>VLOOKUP(A17,saisie!B$7:AL$26,26,0)</f>
        <v>#N/A</v>
      </c>
      <c r="AA17" s="156" t="e">
        <f>VLOOKUP(A17,saisie!B$7:AL$26,27,0)</f>
        <v>#N/A</v>
      </c>
      <c r="AB17" s="153" t="e">
        <f>VLOOKUP(A17,saisie!B$7:AL$26,28,0)</f>
        <v>#N/A</v>
      </c>
      <c r="AC17" s="154" t="e">
        <f>VLOOKUP(A17,saisie!B$7:AL$26,29,0)</f>
        <v>#N/A</v>
      </c>
      <c r="AD17" s="154" t="e">
        <f>VLOOKUP(A17,saisie!B$7:AL$26,30,0)</f>
        <v>#N/A</v>
      </c>
      <c r="AE17" s="154" t="e">
        <f>VLOOKUP(A17,saisie!B$7:AL$26,31,0)</f>
        <v>#N/A</v>
      </c>
      <c r="AF17" s="155" t="e">
        <f>VLOOKUP(A17,saisie!B$7:AL$26,32,0)</f>
        <v>#N/A</v>
      </c>
      <c r="AG17" s="156" t="e">
        <f>VLOOKUP(A17,saisie!B$7:AL$26,33,0)</f>
        <v>#N/A</v>
      </c>
      <c r="AH17" s="150" t="e">
        <f>VLOOKUP(A17,saisie!B$7:AL$26,34,0)</f>
        <v>#N/A</v>
      </c>
      <c r="AI17" s="157" t="e">
        <f>VLOOKUP(A17,saisie!B$7:AL$26,35,0)</f>
        <v>#N/A</v>
      </c>
      <c r="AJ17" s="158"/>
    </row>
    <row r="18" spans="1:36" ht="153" customHeight="1">
      <c r="A18" s="150" t="str">
        <f>IF(INFO!B8&gt;11,12,"")</f>
        <v/>
      </c>
      <c r="B18" s="151" t="e">
        <f>VLOOKUP(A18,saisie!B$7:AL$26,2,0)</f>
        <v>#N/A</v>
      </c>
      <c r="C18" s="152" t="e">
        <f>VLOOKUP(A18,saisie!B$7:AL$26,3,0)</f>
        <v>#N/A</v>
      </c>
      <c r="D18" s="153" t="e">
        <f>VLOOKUP(A18,saisie!B$7:AL$26,4,0)</f>
        <v>#N/A</v>
      </c>
      <c r="E18" s="154" t="e">
        <f>VLOOKUP(A18,saisie!B$7:AL$26,5,0)</f>
        <v>#N/A</v>
      </c>
      <c r="F18" s="154" t="e">
        <f>VLOOKUP(A18,saisie!B$7:AL$26,6,0)</f>
        <v>#N/A</v>
      </c>
      <c r="G18" s="154" t="e">
        <f>VLOOKUP(A18,saisie!B$7:AL$26,7,0)</f>
        <v>#N/A</v>
      </c>
      <c r="H18" s="155" t="e">
        <f>VLOOKUP(A18,saisie!B$7:AL$26,8,0)</f>
        <v>#N/A</v>
      </c>
      <c r="I18" s="156" t="e">
        <f>VLOOKUP(A18,saisie!B$7:AL$26,9,0)</f>
        <v>#N/A</v>
      </c>
      <c r="J18" s="153" t="e">
        <f>VLOOKUP(A18,saisie!B$7:AL$26,10,0)</f>
        <v>#N/A</v>
      </c>
      <c r="K18" s="154" t="e">
        <f>VLOOKUP(A18,saisie!B$7:AL$26,11,0)</f>
        <v>#N/A</v>
      </c>
      <c r="L18" s="154" t="e">
        <f>VLOOKUP(A18,saisie!B$7:AL$26,12,0)</f>
        <v>#N/A</v>
      </c>
      <c r="M18" s="154" t="e">
        <f>VLOOKUP(A18,saisie!B$7:AL$26,13,0)</f>
        <v>#N/A</v>
      </c>
      <c r="N18" s="155" t="e">
        <f>VLOOKUP(A18,saisie!B$7:AL$26,14,0)</f>
        <v>#N/A</v>
      </c>
      <c r="O18" s="156" t="e">
        <f>VLOOKUP(A18,saisie!B$7:AL$26,15,0)</f>
        <v>#N/A</v>
      </c>
      <c r="P18" s="153" t="e">
        <f>VLOOKUP(A18,saisie!B$7:AL$26,16,0)</f>
        <v>#N/A</v>
      </c>
      <c r="Q18" s="154" t="e">
        <f>VLOOKUP(A18,saisie!B$7:AL$26,17,0)</f>
        <v>#N/A</v>
      </c>
      <c r="R18" s="154" t="e">
        <f>VLOOKUP(A18,saisie!B$7:AL$26,18,0)</f>
        <v>#N/A</v>
      </c>
      <c r="S18" s="154" t="e">
        <f>VLOOKUP(A18,saisie!B$7:AL$26,19,0)</f>
        <v>#N/A</v>
      </c>
      <c r="T18" s="155" t="e">
        <f>VLOOKUP(A18,saisie!B$7:AL$26,20,0)</f>
        <v>#N/A</v>
      </c>
      <c r="U18" s="156" t="e">
        <f>VLOOKUP(A18,saisie!B$7:AL$26,21,0)</f>
        <v>#N/A</v>
      </c>
      <c r="V18" s="153" t="e">
        <f>VLOOKUP(A18,saisie!B$7:AL$26,22,0)</f>
        <v>#N/A</v>
      </c>
      <c r="W18" s="154" t="e">
        <f>VLOOKUP(A18,saisie!B$7:AL$26,23,0)</f>
        <v>#N/A</v>
      </c>
      <c r="X18" s="154" t="e">
        <f>VLOOKUP(A18,saisie!B$7:AL$26,24,0)</f>
        <v>#N/A</v>
      </c>
      <c r="Y18" s="154" t="e">
        <f>VLOOKUP(A18,saisie!B$7:AL$26,25,0)</f>
        <v>#N/A</v>
      </c>
      <c r="Z18" s="155" t="e">
        <f>VLOOKUP(A18,saisie!B$7:AL$26,26,0)</f>
        <v>#N/A</v>
      </c>
      <c r="AA18" s="156" t="e">
        <f>VLOOKUP(A18,saisie!B$7:AL$26,27,0)</f>
        <v>#N/A</v>
      </c>
      <c r="AB18" s="153" t="e">
        <f>VLOOKUP(A18,saisie!B$7:AL$26,28,0)</f>
        <v>#N/A</v>
      </c>
      <c r="AC18" s="154" t="e">
        <f>VLOOKUP(A18,saisie!B$7:AL$26,29,0)</f>
        <v>#N/A</v>
      </c>
      <c r="AD18" s="154" t="e">
        <f>VLOOKUP(A18,saisie!B$7:AL$26,30,0)</f>
        <v>#N/A</v>
      </c>
      <c r="AE18" s="154" t="e">
        <f>VLOOKUP(A18,saisie!B$7:AL$26,31,0)</f>
        <v>#N/A</v>
      </c>
      <c r="AF18" s="155" t="e">
        <f>VLOOKUP(A18,saisie!B$7:AL$26,32,0)</f>
        <v>#N/A</v>
      </c>
      <c r="AG18" s="156" t="e">
        <f>VLOOKUP(A18,saisie!B$7:AL$26,33,0)</f>
        <v>#N/A</v>
      </c>
      <c r="AH18" s="150" t="e">
        <f>VLOOKUP(A18,saisie!B$7:AL$26,34,0)</f>
        <v>#N/A</v>
      </c>
      <c r="AI18" s="157" t="e">
        <f>VLOOKUP(A18,saisie!B$7:AL$26,35,0)</f>
        <v>#N/A</v>
      </c>
      <c r="AJ18" s="158"/>
    </row>
    <row r="19" spans="1:36" ht="153" customHeight="1">
      <c r="A19" s="150" t="str">
        <f>IF(INFO!B8&gt;12,13,"")</f>
        <v/>
      </c>
      <c r="B19" s="151" t="e">
        <f>VLOOKUP(A19,saisie!B$7:AL$26,2,0)</f>
        <v>#N/A</v>
      </c>
      <c r="C19" s="152" t="e">
        <f>VLOOKUP(A19,saisie!B$7:AL$26,3,0)</f>
        <v>#N/A</v>
      </c>
      <c r="D19" s="153" t="e">
        <f>VLOOKUP(A19,saisie!B$7:AL$26,4,0)</f>
        <v>#N/A</v>
      </c>
      <c r="E19" s="154" t="e">
        <f>VLOOKUP(A19,saisie!B$7:AL$26,5,0)</f>
        <v>#N/A</v>
      </c>
      <c r="F19" s="154" t="e">
        <f>VLOOKUP(A19,saisie!B$7:AL$26,6,0)</f>
        <v>#N/A</v>
      </c>
      <c r="G19" s="154" t="e">
        <f>VLOOKUP(A19,saisie!B$7:AL$26,7,0)</f>
        <v>#N/A</v>
      </c>
      <c r="H19" s="155" t="e">
        <f>VLOOKUP(A19,saisie!B$7:AL$26,8,0)</f>
        <v>#N/A</v>
      </c>
      <c r="I19" s="156" t="e">
        <f>VLOOKUP(A19,saisie!B$7:AL$26,9,0)</f>
        <v>#N/A</v>
      </c>
      <c r="J19" s="153" t="e">
        <f>VLOOKUP(A19,saisie!B$7:AL$26,10,0)</f>
        <v>#N/A</v>
      </c>
      <c r="K19" s="154" t="e">
        <f>VLOOKUP(A19,saisie!B$7:AL$26,11,0)</f>
        <v>#N/A</v>
      </c>
      <c r="L19" s="154" t="e">
        <f>VLOOKUP(A19,saisie!B$7:AL$26,12,0)</f>
        <v>#N/A</v>
      </c>
      <c r="M19" s="154" t="e">
        <f>VLOOKUP(A19,saisie!B$7:AL$26,13,0)</f>
        <v>#N/A</v>
      </c>
      <c r="N19" s="155" t="e">
        <f>VLOOKUP(A19,saisie!B$7:AL$26,14,0)</f>
        <v>#N/A</v>
      </c>
      <c r="O19" s="156" t="e">
        <f>VLOOKUP(A19,saisie!B$7:AL$26,15,0)</f>
        <v>#N/A</v>
      </c>
      <c r="P19" s="153" t="e">
        <f>VLOOKUP(A19,saisie!B$7:AL$26,16,0)</f>
        <v>#N/A</v>
      </c>
      <c r="Q19" s="154" t="e">
        <f>VLOOKUP(A19,saisie!B$7:AL$26,17,0)</f>
        <v>#N/A</v>
      </c>
      <c r="R19" s="154" t="e">
        <f>VLOOKUP(A19,saisie!B$7:AL$26,18,0)</f>
        <v>#N/A</v>
      </c>
      <c r="S19" s="154" t="e">
        <f>VLOOKUP(A19,saisie!B$7:AL$26,19,0)</f>
        <v>#N/A</v>
      </c>
      <c r="T19" s="155" t="e">
        <f>VLOOKUP(A19,saisie!B$7:AL$26,20,0)</f>
        <v>#N/A</v>
      </c>
      <c r="U19" s="156" t="e">
        <f>VLOOKUP(A19,saisie!B$7:AL$26,21,0)</f>
        <v>#N/A</v>
      </c>
      <c r="V19" s="153" t="e">
        <f>VLOOKUP(A19,saisie!B$7:AL$26,22,0)</f>
        <v>#N/A</v>
      </c>
      <c r="W19" s="154" t="e">
        <f>VLOOKUP(A19,saisie!B$7:AL$26,23,0)</f>
        <v>#N/A</v>
      </c>
      <c r="X19" s="154" t="e">
        <f>VLOOKUP(A19,saisie!B$7:AL$26,24,0)</f>
        <v>#N/A</v>
      </c>
      <c r="Y19" s="154" t="e">
        <f>VLOOKUP(A19,saisie!B$7:AL$26,25,0)</f>
        <v>#N/A</v>
      </c>
      <c r="Z19" s="155" t="e">
        <f>VLOOKUP(A19,saisie!B$7:AL$26,26,0)</f>
        <v>#N/A</v>
      </c>
      <c r="AA19" s="156" t="e">
        <f>VLOOKUP(A19,saisie!B$7:AL$26,27,0)</f>
        <v>#N/A</v>
      </c>
      <c r="AB19" s="153" t="e">
        <f>VLOOKUP(A19,saisie!B$7:AL$26,28,0)</f>
        <v>#N/A</v>
      </c>
      <c r="AC19" s="154" t="e">
        <f>VLOOKUP(A19,saisie!B$7:AL$26,29,0)</f>
        <v>#N/A</v>
      </c>
      <c r="AD19" s="154" t="e">
        <f>VLOOKUP(A19,saisie!B$7:AL$26,30,0)</f>
        <v>#N/A</v>
      </c>
      <c r="AE19" s="154" t="e">
        <f>VLOOKUP(A19,saisie!B$7:AL$26,31,0)</f>
        <v>#N/A</v>
      </c>
      <c r="AF19" s="155" t="e">
        <f>VLOOKUP(A19,saisie!B$7:AL$26,32,0)</f>
        <v>#N/A</v>
      </c>
      <c r="AG19" s="156" t="e">
        <f>VLOOKUP(A19,saisie!B$7:AL$26,33,0)</f>
        <v>#N/A</v>
      </c>
      <c r="AH19" s="150" t="e">
        <f>VLOOKUP(A19,saisie!B$7:AL$26,34,0)</f>
        <v>#N/A</v>
      </c>
      <c r="AI19" s="157" t="e">
        <f>VLOOKUP(A19,saisie!B$7:AL$26,35,0)</f>
        <v>#N/A</v>
      </c>
      <c r="AJ19" s="158"/>
    </row>
    <row r="20" spans="1:36" ht="153" customHeight="1">
      <c r="A20" s="150" t="str">
        <f>IF(INFO!B8&gt;13,14,"")</f>
        <v/>
      </c>
      <c r="B20" s="151" t="e">
        <f>VLOOKUP(A20,saisie!B$7:AL$26,2,0)</f>
        <v>#N/A</v>
      </c>
      <c r="C20" s="152" t="e">
        <f>VLOOKUP(A20,saisie!B$7:AL$26,3,0)</f>
        <v>#N/A</v>
      </c>
      <c r="D20" s="153" t="e">
        <f>VLOOKUP(A20,saisie!B$7:AL$26,4,0)</f>
        <v>#N/A</v>
      </c>
      <c r="E20" s="154" t="e">
        <f>VLOOKUP(A20,saisie!B$7:AL$26,5,0)</f>
        <v>#N/A</v>
      </c>
      <c r="F20" s="154" t="e">
        <f>VLOOKUP(A20,saisie!B$7:AL$26,6,0)</f>
        <v>#N/A</v>
      </c>
      <c r="G20" s="154" t="e">
        <f>VLOOKUP(A20,saisie!B$7:AL$26,7,0)</f>
        <v>#N/A</v>
      </c>
      <c r="H20" s="155" t="e">
        <f>VLOOKUP(A20,saisie!B$7:AL$26,8,0)</f>
        <v>#N/A</v>
      </c>
      <c r="I20" s="156" t="e">
        <f>VLOOKUP(A20,saisie!B$7:AL$26,9,0)</f>
        <v>#N/A</v>
      </c>
      <c r="J20" s="153" t="e">
        <f>VLOOKUP(A20,saisie!B$7:AL$26,10,0)</f>
        <v>#N/A</v>
      </c>
      <c r="K20" s="154" t="e">
        <f>VLOOKUP(A20,saisie!B$7:AL$26,11,0)</f>
        <v>#N/A</v>
      </c>
      <c r="L20" s="154" t="e">
        <f>VLOOKUP(A20,saisie!B$7:AL$26,12,0)</f>
        <v>#N/A</v>
      </c>
      <c r="M20" s="154" t="e">
        <f>VLOOKUP(A20,saisie!B$7:AL$26,13,0)</f>
        <v>#N/A</v>
      </c>
      <c r="N20" s="155" t="e">
        <f>VLOOKUP(A20,saisie!B$7:AL$26,14,0)</f>
        <v>#N/A</v>
      </c>
      <c r="O20" s="156" t="e">
        <f>VLOOKUP(A20,saisie!B$7:AL$26,15,0)</f>
        <v>#N/A</v>
      </c>
      <c r="P20" s="153" t="e">
        <f>VLOOKUP(A20,saisie!B$7:AL$26,16,0)</f>
        <v>#N/A</v>
      </c>
      <c r="Q20" s="154" t="e">
        <f>VLOOKUP(A20,saisie!B$7:AL$26,17,0)</f>
        <v>#N/A</v>
      </c>
      <c r="R20" s="154" t="e">
        <f>VLOOKUP(A20,saisie!B$7:AL$26,18,0)</f>
        <v>#N/A</v>
      </c>
      <c r="S20" s="154" t="e">
        <f>VLOOKUP(A20,saisie!B$7:AL$26,19,0)</f>
        <v>#N/A</v>
      </c>
      <c r="T20" s="155" t="e">
        <f>VLOOKUP(A20,saisie!B$7:AL$26,20,0)</f>
        <v>#N/A</v>
      </c>
      <c r="U20" s="156" t="e">
        <f>VLOOKUP(A20,saisie!B$7:AL$26,21,0)</f>
        <v>#N/A</v>
      </c>
      <c r="V20" s="153" t="e">
        <f>VLOOKUP(A20,saisie!B$7:AL$26,22,0)</f>
        <v>#N/A</v>
      </c>
      <c r="W20" s="154" t="e">
        <f>VLOOKUP(A20,saisie!B$7:AL$26,23,0)</f>
        <v>#N/A</v>
      </c>
      <c r="X20" s="154" t="e">
        <f>VLOOKUP(A20,saisie!B$7:AL$26,24,0)</f>
        <v>#N/A</v>
      </c>
      <c r="Y20" s="154" t="e">
        <f>VLOOKUP(A20,saisie!B$7:AL$26,25,0)</f>
        <v>#N/A</v>
      </c>
      <c r="Z20" s="155" t="e">
        <f>VLOOKUP(A20,saisie!B$7:AL$26,26,0)</f>
        <v>#N/A</v>
      </c>
      <c r="AA20" s="156" t="e">
        <f>VLOOKUP(A20,saisie!B$7:AL$26,27,0)</f>
        <v>#N/A</v>
      </c>
      <c r="AB20" s="153" t="e">
        <f>VLOOKUP(A20,saisie!B$7:AL$26,28,0)</f>
        <v>#N/A</v>
      </c>
      <c r="AC20" s="154" t="e">
        <f>VLOOKUP(A20,saisie!B$7:AL$26,29,0)</f>
        <v>#N/A</v>
      </c>
      <c r="AD20" s="154" t="e">
        <f>VLOOKUP(A20,saisie!B$7:AL$26,30,0)</f>
        <v>#N/A</v>
      </c>
      <c r="AE20" s="154" t="e">
        <f>VLOOKUP(A20,saisie!B$7:AL$26,31,0)</f>
        <v>#N/A</v>
      </c>
      <c r="AF20" s="155" t="e">
        <f>VLOOKUP(A20,saisie!B$7:AL$26,32,0)</f>
        <v>#N/A</v>
      </c>
      <c r="AG20" s="156" t="e">
        <f>VLOOKUP(A20,saisie!B$7:AL$26,33,0)</f>
        <v>#N/A</v>
      </c>
      <c r="AH20" s="150" t="e">
        <f>VLOOKUP(A20,saisie!B$7:AL$26,34,0)</f>
        <v>#N/A</v>
      </c>
      <c r="AI20" s="157" t="e">
        <f>VLOOKUP(A20,saisie!B$7:AL$26,35,0)</f>
        <v>#N/A</v>
      </c>
      <c r="AJ20" s="158"/>
    </row>
    <row r="21" spans="1:36" ht="153" customHeight="1">
      <c r="A21" s="150" t="str">
        <f>IF(INFO!B8&gt;14,15,"")</f>
        <v/>
      </c>
      <c r="B21" s="151" t="e">
        <f>VLOOKUP(A21,saisie!B$7:AL$26,2,0)</f>
        <v>#N/A</v>
      </c>
      <c r="C21" s="152" t="e">
        <f>VLOOKUP(A21,saisie!B$7:AL$26,3,0)</f>
        <v>#N/A</v>
      </c>
      <c r="D21" s="153" t="e">
        <f>VLOOKUP(A21,saisie!B$7:AL$26,4,0)</f>
        <v>#N/A</v>
      </c>
      <c r="E21" s="154" t="e">
        <f>VLOOKUP(A21,saisie!B$7:AL$26,5,0)</f>
        <v>#N/A</v>
      </c>
      <c r="F21" s="154" t="e">
        <f>VLOOKUP(A21,saisie!B$7:AL$26,6,0)</f>
        <v>#N/A</v>
      </c>
      <c r="G21" s="154" t="e">
        <f>VLOOKUP(A21,saisie!B$7:AL$26,7,0)</f>
        <v>#N/A</v>
      </c>
      <c r="H21" s="155" t="e">
        <f>VLOOKUP(A21,saisie!B$7:AL$26,8,0)</f>
        <v>#N/A</v>
      </c>
      <c r="I21" s="156" t="e">
        <f>VLOOKUP(A21,saisie!B$7:AL$26,9,0)</f>
        <v>#N/A</v>
      </c>
      <c r="J21" s="153" t="e">
        <f>VLOOKUP(A21,saisie!B$7:AL$26,10,0)</f>
        <v>#N/A</v>
      </c>
      <c r="K21" s="154" t="e">
        <f>VLOOKUP(A21,saisie!B$7:AL$26,11,0)</f>
        <v>#N/A</v>
      </c>
      <c r="L21" s="154" t="e">
        <f>VLOOKUP(A21,saisie!B$7:AL$26,12,0)</f>
        <v>#N/A</v>
      </c>
      <c r="M21" s="154" t="e">
        <f>VLOOKUP(A21,saisie!B$7:AL$26,13,0)</f>
        <v>#N/A</v>
      </c>
      <c r="N21" s="155" t="e">
        <f>VLOOKUP(A21,saisie!B$7:AL$26,14,0)</f>
        <v>#N/A</v>
      </c>
      <c r="O21" s="156" t="e">
        <f>VLOOKUP(A21,saisie!B$7:AL$26,15,0)</f>
        <v>#N/A</v>
      </c>
      <c r="P21" s="153" t="e">
        <f>VLOOKUP(A21,saisie!B$7:AL$26,16,0)</f>
        <v>#N/A</v>
      </c>
      <c r="Q21" s="154" t="e">
        <f>VLOOKUP(A21,saisie!B$7:AL$26,17,0)</f>
        <v>#N/A</v>
      </c>
      <c r="R21" s="154" t="e">
        <f>VLOOKUP(A21,saisie!B$7:AL$26,18,0)</f>
        <v>#N/A</v>
      </c>
      <c r="S21" s="154" t="e">
        <f>VLOOKUP(A21,saisie!B$7:AL$26,19,0)</f>
        <v>#N/A</v>
      </c>
      <c r="T21" s="155" t="e">
        <f>VLOOKUP(A21,saisie!B$7:AL$26,20,0)</f>
        <v>#N/A</v>
      </c>
      <c r="U21" s="156" t="e">
        <f>VLOOKUP(A21,saisie!B$7:AL$26,21,0)</f>
        <v>#N/A</v>
      </c>
      <c r="V21" s="153" t="e">
        <f>VLOOKUP(A21,saisie!B$7:AL$26,22,0)</f>
        <v>#N/A</v>
      </c>
      <c r="W21" s="154" t="e">
        <f>VLOOKUP(A21,saisie!B$7:AL$26,23,0)</f>
        <v>#N/A</v>
      </c>
      <c r="X21" s="154" t="e">
        <f>VLOOKUP(A21,saisie!B$7:AL$26,24,0)</f>
        <v>#N/A</v>
      </c>
      <c r="Y21" s="154" t="e">
        <f>VLOOKUP(A21,saisie!B$7:AL$26,25,0)</f>
        <v>#N/A</v>
      </c>
      <c r="Z21" s="155" t="e">
        <f>VLOOKUP(A21,saisie!B$7:AL$26,26,0)</f>
        <v>#N/A</v>
      </c>
      <c r="AA21" s="156" t="e">
        <f>VLOOKUP(A21,saisie!B$7:AL$26,27,0)</f>
        <v>#N/A</v>
      </c>
      <c r="AB21" s="153" t="e">
        <f>VLOOKUP(A21,saisie!B$7:AL$26,28,0)</f>
        <v>#N/A</v>
      </c>
      <c r="AC21" s="154" t="e">
        <f>VLOOKUP(A21,saisie!B$7:AL$26,29,0)</f>
        <v>#N/A</v>
      </c>
      <c r="AD21" s="154" t="e">
        <f>VLOOKUP(A21,saisie!B$7:AL$26,30,0)</f>
        <v>#N/A</v>
      </c>
      <c r="AE21" s="154" t="e">
        <f>VLOOKUP(A21,saisie!B$7:AL$26,31,0)</f>
        <v>#N/A</v>
      </c>
      <c r="AF21" s="155" t="e">
        <f>VLOOKUP(A21,saisie!B$7:AL$26,32,0)</f>
        <v>#N/A</v>
      </c>
      <c r="AG21" s="156" t="e">
        <f>VLOOKUP(A21,saisie!B$7:AL$26,33,0)</f>
        <v>#N/A</v>
      </c>
      <c r="AH21" s="150" t="e">
        <f>VLOOKUP(A21,saisie!B$7:AL$26,34,0)</f>
        <v>#N/A</v>
      </c>
      <c r="AI21" s="157" t="e">
        <f>VLOOKUP(A21,saisie!B$7:AL$26,35,0)</f>
        <v>#N/A</v>
      </c>
      <c r="AJ21" s="158"/>
    </row>
    <row r="22" spans="1:36" ht="153" customHeight="1">
      <c r="A22" s="150" t="str">
        <f>IF(INFO!B8&gt;15,16,"")</f>
        <v/>
      </c>
      <c r="B22" s="151" t="e">
        <f>VLOOKUP(A22,saisie!B$7:AL$26,2,0)</f>
        <v>#N/A</v>
      </c>
      <c r="C22" s="152" t="e">
        <f>VLOOKUP(A22,saisie!B$7:AL$26,3,0)</f>
        <v>#N/A</v>
      </c>
      <c r="D22" s="153" t="e">
        <f>VLOOKUP(A22,saisie!B$7:AL$26,4,0)</f>
        <v>#N/A</v>
      </c>
      <c r="E22" s="154" t="e">
        <f>VLOOKUP(A22,saisie!B$7:AL$26,5,0)</f>
        <v>#N/A</v>
      </c>
      <c r="F22" s="154" t="e">
        <f>VLOOKUP(A22,saisie!B$7:AL$26,6,0)</f>
        <v>#N/A</v>
      </c>
      <c r="G22" s="154" t="e">
        <f>VLOOKUP(A22,saisie!B$7:AL$26,7,0)</f>
        <v>#N/A</v>
      </c>
      <c r="H22" s="155" t="e">
        <f>VLOOKUP(A22,saisie!B$7:AL$26,8,0)</f>
        <v>#N/A</v>
      </c>
      <c r="I22" s="156" t="e">
        <f>VLOOKUP(A22,saisie!B$7:AL$26,9,0)</f>
        <v>#N/A</v>
      </c>
      <c r="J22" s="153" t="e">
        <f>VLOOKUP(A22,saisie!B$7:AL$26,10,0)</f>
        <v>#N/A</v>
      </c>
      <c r="K22" s="154" t="e">
        <f>VLOOKUP(A22,saisie!B$7:AL$26,11,0)</f>
        <v>#N/A</v>
      </c>
      <c r="L22" s="154" t="e">
        <f>VLOOKUP(A22,saisie!B$7:AL$26,12,0)</f>
        <v>#N/A</v>
      </c>
      <c r="M22" s="154" t="e">
        <f>VLOOKUP(A22,saisie!B$7:AL$26,13,0)</f>
        <v>#N/A</v>
      </c>
      <c r="N22" s="155" t="e">
        <f>VLOOKUP(A22,saisie!B$7:AL$26,14,0)</f>
        <v>#N/A</v>
      </c>
      <c r="O22" s="156" t="e">
        <f>VLOOKUP(A22,saisie!B$7:AL$26,15,0)</f>
        <v>#N/A</v>
      </c>
      <c r="P22" s="153" t="e">
        <f>VLOOKUP(A22,saisie!B$7:AL$26,16,0)</f>
        <v>#N/A</v>
      </c>
      <c r="Q22" s="154" t="e">
        <f>VLOOKUP(A22,saisie!B$7:AL$26,17,0)</f>
        <v>#N/A</v>
      </c>
      <c r="R22" s="154" t="e">
        <f>VLOOKUP(A22,saisie!B$7:AL$26,18,0)</f>
        <v>#N/A</v>
      </c>
      <c r="S22" s="154" t="e">
        <f>VLOOKUP(A22,saisie!B$7:AL$26,19,0)</f>
        <v>#N/A</v>
      </c>
      <c r="T22" s="155" t="e">
        <f>VLOOKUP(A22,saisie!B$7:AL$26,20,0)</f>
        <v>#N/A</v>
      </c>
      <c r="U22" s="156" t="e">
        <f>VLOOKUP(A22,saisie!B$7:AL$26,21,0)</f>
        <v>#N/A</v>
      </c>
      <c r="V22" s="153" t="e">
        <f>VLOOKUP(A22,saisie!B$7:AL$26,22,0)</f>
        <v>#N/A</v>
      </c>
      <c r="W22" s="154" t="e">
        <f>VLOOKUP(A22,saisie!B$7:AL$26,23,0)</f>
        <v>#N/A</v>
      </c>
      <c r="X22" s="154" t="e">
        <f>VLOOKUP(A22,saisie!B$7:AL$26,24,0)</f>
        <v>#N/A</v>
      </c>
      <c r="Y22" s="154" t="e">
        <f>VLOOKUP(A22,saisie!B$7:AL$26,25,0)</f>
        <v>#N/A</v>
      </c>
      <c r="Z22" s="155" t="e">
        <f>VLOOKUP(A22,saisie!B$7:AL$26,26,0)</f>
        <v>#N/A</v>
      </c>
      <c r="AA22" s="156" t="e">
        <f>VLOOKUP(A22,saisie!B$7:AL$26,27,0)</f>
        <v>#N/A</v>
      </c>
      <c r="AB22" s="153" t="e">
        <f>VLOOKUP(A22,saisie!B$7:AL$26,28,0)</f>
        <v>#N/A</v>
      </c>
      <c r="AC22" s="154" t="e">
        <f>VLOOKUP(A22,saisie!B$7:AL$26,29,0)</f>
        <v>#N/A</v>
      </c>
      <c r="AD22" s="154" t="e">
        <f>VLOOKUP(A22,saisie!B$7:AL$26,30,0)</f>
        <v>#N/A</v>
      </c>
      <c r="AE22" s="154" t="e">
        <f>VLOOKUP(A22,saisie!B$7:AL$26,31,0)</f>
        <v>#N/A</v>
      </c>
      <c r="AF22" s="155" t="e">
        <f>VLOOKUP(A22,saisie!B$7:AL$26,32,0)</f>
        <v>#N/A</v>
      </c>
      <c r="AG22" s="156" t="e">
        <f>VLOOKUP(A22,saisie!B$7:AL$26,33,0)</f>
        <v>#N/A</v>
      </c>
      <c r="AH22" s="150" t="e">
        <f>VLOOKUP(A22,saisie!B$7:AL$26,34,0)</f>
        <v>#N/A</v>
      </c>
      <c r="AI22" s="157" t="e">
        <f>VLOOKUP(A22,saisie!B$7:AL$26,35,0)</f>
        <v>#N/A</v>
      </c>
      <c r="AJ22" s="158"/>
    </row>
    <row r="23" spans="1:36" ht="153" customHeight="1">
      <c r="A23" s="150" t="str">
        <f>IF(INFO!B8&gt;16,17,"")</f>
        <v/>
      </c>
      <c r="B23" s="151" t="e">
        <f>VLOOKUP(A23,saisie!B$7:AL$26,2,0)</f>
        <v>#N/A</v>
      </c>
      <c r="C23" s="152" t="e">
        <f>VLOOKUP(A23,saisie!B$7:AL$26,3,0)</f>
        <v>#N/A</v>
      </c>
      <c r="D23" s="153" t="e">
        <f>VLOOKUP(A23,saisie!B$7:AL$26,4,0)</f>
        <v>#N/A</v>
      </c>
      <c r="E23" s="154" t="e">
        <f>VLOOKUP(A23,saisie!B$7:AL$26,5,0)</f>
        <v>#N/A</v>
      </c>
      <c r="F23" s="154" t="e">
        <f>VLOOKUP(A23,saisie!B$7:AL$26,6,0)</f>
        <v>#N/A</v>
      </c>
      <c r="G23" s="154" t="e">
        <f>VLOOKUP(A23,saisie!B$7:AL$26,7,0)</f>
        <v>#N/A</v>
      </c>
      <c r="H23" s="155" t="e">
        <f>VLOOKUP(A23,saisie!B$7:AL$26,8,0)</f>
        <v>#N/A</v>
      </c>
      <c r="I23" s="156" t="e">
        <f>VLOOKUP(A23,saisie!B$7:AL$26,9,0)</f>
        <v>#N/A</v>
      </c>
      <c r="J23" s="153" t="e">
        <f>VLOOKUP(A23,saisie!B$7:AL$26,10,0)</f>
        <v>#N/A</v>
      </c>
      <c r="K23" s="154" t="e">
        <f>VLOOKUP(A23,saisie!B$7:AL$26,11,0)</f>
        <v>#N/A</v>
      </c>
      <c r="L23" s="154" t="e">
        <f>VLOOKUP(A23,saisie!B$7:AL$26,12,0)</f>
        <v>#N/A</v>
      </c>
      <c r="M23" s="154" t="e">
        <f>VLOOKUP(A23,saisie!B$7:AL$26,13,0)</f>
        <v>#N/A</v>
      </c>
      <c r="N23" s="155" t="e">
        <f>VLOOKUP(A23,saisie!B$7:AL$26,14,0)</f>
        <v>#N/A</v>
      </c>
      <c r="O23" s="156" t="e">
        <f>VLOOKUP(A23,saisie!B$7:AL$26,15,0)</f>
        <v>#N/A</v>
      </c>
      <c r="P23" s="153" t="e">
        <f>VLOOKUP(A23,saisie!B$7:AL$26,16,0)</f>
        <v>#N/A</v>
      </c>
      <c r="Q23" s="154" t="e">
        <f>VLOOKUP(A23,saisie!B$7:AL$26,17,0)</f>
        <v>#N/A</v>
      </c>
      <c r="R23" s="154" t="e">
        <f>VLOOKUP(A23,saisie!B$7:AL$26,18,0)</f>
        <v>#N/A</v>
      </c>
      <c r="S23" s="154" t="e">
        <f>VLOOKUP(A23,saisie!B$7:AL$26,19,0)</f>
        <v>#N/A</v>
      </c>
      <c r="T23" s="155" t="e">
        <f>VLOOKUP(A23,saisie!B$7:AL$26,20,0)</f>
        <v>#N/A</v>
      </c>
      <c r="U23" s="156" t="e">
        <f>VLOOKUP(A23,saisie!B$7:AL$26,21,0)</f>
        <v>#N/A</v>
      </c>
      <c r="V23" s="153" t="e">
        <f>VLOOKUP(A23,saisie!B$7:AL$26,22,0)</f>
        <v>#N/A</v>
      </c>
      <c r="W23" s="154" t="e">
        <f>VLOOKUP(A23,saisie!B$7:AL$26,23,0)</f>
        <v>#N/A</v>
      </c>
      <c r="X23" s="154" t="e">
        <f>VLOOKUP(A23,saisie!B$7:AL$26,24,0)</f>
        <v>#N/A</v>
      </c>
      <c r="Y23" s="154" t="e">
        <f>VLOOKUP(A23,saisie!B$7:AL$26,25,0)</f>
        <v>#N/A</v>
      </c>
      <c r="Z23" s="155" t="e">
        <f>VLOOKUP(A23,saisie!B$7:AL$26,26,0)</f>
        <v>#N/A</v>
      </c>
      <c r="AA23" s="156" t="e">
        <f>VLOOKUP(A23,saisie!B$7:AL$26,27,0)</f>
        <v>#N/A</v>
      </c>
      <c r="AB23" s="153" t="e">
        <f>VLOOKUP(A23,saisie!B$7:AL$26,28,0)</f>
        <v>#N/A</v>
      </c>
      <c r="AC23" s="154" t="e">
        <f>VLOOKUP(A23,saisie!B$7:AL$26,29,0)</f>
        <v>#N/A</v>
      </c>
      <c r="AD23" s="154" t="e">
        <f>VLOOKUP(A23,saisie!B$7:AL$26,30,0)</f>
        <v>#N/A</v>
      </c>
      <c r="AE23" s="154" t="e">
        <f>VLOOKUP(A23,saisie!B$7:AL$26,31,0)</f>
        <v>#N/A</v>
      </c>
      <c r="AF23" s="155" t="e">
        <f>VLOOKUP(A23,saisie!B$7:AL$26,32,0)</f>
        <v>#N/A</v>
      </c>
      <c r="AG23" s="156" t="e">
        <f>VLOOKUP(A23,saisie!B$7:AL$26,33,0)</f>
        <v>#N/A</v>
      </c>
      <c r="AH23" s="150" t="e">
        <f>VLOOKUP(A23,saisie!B$7:AL$26,34,0)</f>
        <v>#N/A</v>
      </c>
      <c r="AI23" s="157" t="e">
        <f>VLOOKUP(A23,saisie!B$7:AL$26,35,0)</f>
        <v>#N/A</v>
      </c>
      <c r="AJ23" s="158"/>
    </row>
    <row r="24" spans="1:36" ht="153" customHeight="1">
      <c r="A24" s="150" t="str">
        <f>IF(INFO!B8&gt;17,18,"")</f>
        <v/>
      </c>
      <c r="B24" s="151" t="e">
        <f>VLOOKUP(A24,saisie!B$7:AL$26,2,0)</f>
        <v>#N/A</v>
      </c>
      <c r="C24" s="152" t="e">
        <f>VLOOKUP(A24,saisie!B$7:AL$26,3,0)</f>
        <v>#N/A</v>
      </c>
      <c r="D24" s="153" t="e">
        <f>VLOOKUP(A24,saisie!B$7:AL$26,4,0)</f>
        <v>#N/A</v>
      </c>
      <c r="E24" s="154" t="e">
        <f>VLOOKUP(A24,saisie!B$7:AL$26,5,0)</f>
        <v>#N/A</v>
      </c>
      <c r="F24" s="154" t="e">
        <f>VLOOKUP(A24,saisie!B$7:AL$26,6,0)</f>
        <v>#N/A</v>
      </c>
      <c r="G24" s="154" t="e">
        <f>VLOOKUP(A24,saisie!B$7:AL$26,7,0)</f>
        <v>#N/A</v>
      </c>
      <c r="H24" s="155" t="e">
        <f>VLOOKUP(A24,saisie!B$7:AL$26,8,0)</f>
        <v>#N/A</v>
      </c>
      <c r="I24" s="156" t="e">
        <f>VLOOKUP(A24,saisie!B$7:AL$26,9,0)</f>
        <v>#N/A</v>
      </c>
      <c r="J24" s="153" t="e">
        <f>VLOOKUP(A24,saisie!B$7:AL$26,10,0)</f>
        <v>#N/A</v>
      </c>
      <c r="K24" s="154" t="e">
        <f>VLOOKUP(A24,saisie!B$7:AL$26,11,0)</f>
        <v>#N/A</v>
      </c>
      <c r="L24" s="154" t="e">
        <f>VLOOKUP(A24,saisie!B$7:AL$26,12,0)</f>
        <v>#N/A</v>
      </c>
      <c r="M24" s="154" t="e">
        <f>VLOOKUP(A24,saisie!B$7:AL$26,13,0)</f>
        <v>#N/A</v>
      </c>
      <c r="N24" s="155" t="e">
        <f>VLOOKUP(A24,saisie!B$7:AL$26,14,0)</f>
        <v>#N/A</v>
      </c>
      <c r="O24" s="156" t="e">
        <f>VLOOKUP(A24,saisie!B$7:AL$26,15,0)</f>
        <v>#N/A</v>
      </c>
      <c r="P24" s="153" t="e">
        <f>VLOOKUP(A24,saisie!B$7:AL$26,16,0)</f>
        <v>#N/A</v>
      </c>
      <c r="Q24" s="154" t="e">
        <f>VLOOKUP(A24,saisie!B$7:AL$26,17,0)</f>
        <v>#N/A</v>
      </c>
      <c r="R24" s="154" t="e">
        <f>VLOOKUP(A24,saisie!B$7:AL$26,18,0)</f>
        <v>#N/A</v>
      </c>
      <c r="S24" s="154" t="e">
        <f>VLOOKUP(A24,saisie!B$7:AL$26,19,0)</f>
        <v>#N/A</v>
      </c>
      <c r="T24" s="155" t="e">
        <f>VLOOKUP(A24,saisie!B$7:AL$26,20,0)</f>
        <v>#N/A</v>
      </c>
      <c r="U24" s="156" t="e">
        <f>VLOOKUP(A24,saisie!B$7:AL$26,21,0)</f>
        <v>#N/A</v>
      </c>
      <c r="V24" s="153" t="e">
        <f>VLOOKUP(A24,saisie!B$7:AL$26,22,0)</f>
        <v>#N/A</v>
      </c>
      <c r="W24" s="154" t="e">
        <f>VLOOKUP(A24,saisie!B$7:AL$26,23,0)</f>
        <v>#N/A</v>
      </c>
      <c r="X24" s="154" t="e">
        <f>VLOOKUP(A24,saisie!B$7:AL$26,24,0)</f>
        <v>#N/A</v>
      </c>
      <c r="Y24" s="154" t="e">
        <f>VLOOKUP(A24,saisie!B$7:AL$26,25,0)</f>
        <v>#N/A</v>
      </c>
      <c r="Z24" s="155" t="e">
        <f>VLOOKUP(A24,saisie!B$7:AL$26,26,0)</f>
        <v>#N/A</v>
      </c>
      <c r="AA24" s="156" t="e">
        <f>VLOOKUP(A24,saisie!B$7:AL$26,27,0)</f>
        <v>#N/A</v>
      </c>
      <c r="AB24" s="153" t="e">
        <f>VLOOKUP(A24,saisie!B$7:AL$26,28,0)</f>
        <v>#N/A</v>
      </c>
      <c r="AC24" s="154" t="e">
        <f>VLOOKUP(A24,saisie!B$7:AL$26,29,0)</f>
        <v>#N/A</v>
      </c>
      <c r="AD24" s="154" t="e">
        <f>VLOOKUP(A24,saisie!B$7:AL$26,30,0)</f>
        <v>#N/A</v>
      </c>
      <c r="AE24" s="154" t="e">
        <f>VLOOKUP(A24,saisie!B$7:AL$26,31,0)</f>
        <v>#N/A</v>
      </c>
      <c r="AF24" s="155" t="e">
        <f>VLOOKUP(A24,saisie!B$7:AL$26,32,0)</f>
        <v>#N/A</v>
      </c>
      <c r="AG24" s="156" t="e">
        <f>VLOOKUP(A24,saisie!B$7:AL$26,33,0)</f>
        <v>#N/A</v>
      </c>
      <c r="AH24" s="150" t="e">
        <f>VLOOKUP(A24,saisie!B$7:AL$26,34,0)</f>
        <v>#N/A</v>
      </c>
      <c r="AI24" s="157" t="e">
        <f>VLOOKUP(A24,saisie!B$7:AL$26,35,0)</f>
        <v>#N/A</v>
      </c>
      <c r="AJ24" s="158"/>
    </row>
    <row r="25" spans="1:36" ht="153" customHeight="1">
      <c r="A25" s="150" t="str">
        <f>IF(INFO!B8&gt;18,19,"")</f>
        <v/>
      </c>
      <c r="B25" s="151" t="e">
        <f>VLOOKUP(A25,saisie!B$7:AL$26,2,0)</f>
        <v>#N/A</v>
      </c>
      <c r="C25" s="152" t="e">
        <f>VLOOKUP(A25,saisie!B$7:AL$26,3,0)</f>
        <v>#N/A</v>
      </c>
      <c r="D25" s="153" t="e">
        <f>VLOOKUP(A25,saisie!B$7:AL$26,4,0)</f>
        <v>#N/A</v>
      </c>
      <c r="E25" s="154" t="e">
        <f>VLOOKUP(A25,saisie!B$7:AL$26,5,0)</f>
        <v>#N/A</v>
      </c>
      <c r="F25" s="154" t="e">
        <f>VLOOKUP(A25,saisie!B$7:AL$26,6,0)</f>
        <v>#N/A</v>
      </c>
      <c r="G25" s="154" t="e">
        <f>VLOOKUP(A25,saisie!B$7:AL$26,7,0)</f>
        <v>#N/A</v>
      </c>
      <c r="H25" s="155" t="e">
        <f>VLOOKUP(A25,saisie!B$7:AL$26,8,0)</f>
        <v>#N/A</v>
      </c>
      <c r="I25" s="156" t="e">
        <f>VLOOKUP(A25,saisie!B$7:AL$26,9,0)</f>
        <v>#N/A</v>
      </c>
      <c r="J25" s="153" t="e">
        <f>VLOOKUP(A25,saisie!B$7:AL$26,10,0)</f>
        <v>#N/A</v>
      </c>
      <c r="K25" s="154" t="e">
        <f>VLOOKUP(A25,saisie!B$7:AL$26,11,0)</f>
        <v>#N/A</v>
      </c>
      <c r="L25" s="154" t="e">
        <f>VLOOKUP(A25,saisie!B$7:AL$26,12,0)</f>
        <v>#N/A</v>
      </c>
      <c r="M25" s="154" t="e">
        <f>VLOOKUP(A25,saisie!B$7:AL$26,13,0)</f>
        <v>#N/A</v>
      </c>
      <c r="N25" s="155" t="e">
        <f>VLOOKUP(A25,saisie!B$7:AL$26,14,0)</f>
        <v>#N/A</v>
      </c>
      <c r="O25" s="156" t="e">
        <f>VLOOKUP(A25,saisie!B$7:AL$26,15,0)</f>
        <v>#N/A</v>
      </c>
      <c r="P25" s="153" t="e">
        <f>VLOOKUP(A25,saisie!B$7:AL$26,16,0)</f>
        <v>#N/A</v>
      </c>
      <c r="Q25" s="154" t="e">
        <f>VLOOKUP(A25,saisie!B$7:AL$26,17,0)</f>
        <v>#N/A</v>
      </c>
      <c r="R25" s="154" t="e">
        <f>VLOOKUP(A25,saisie!B$7:AL$26,18,0)</f>
        <v>#N/A</v>
      </c>
      <c r="S25" s="154" t="e">
        <f>VLOOKUP(A25,saisie!B$7:AL$26,19,0)</f>
        <v>#N/A</v>
      </c>
      <c r="T25" s="155" t="e">
        <f>VLOOKUP(A25,saisie!B$7:AL$26,20,0)</f>
        <v>#N/A</v>
      </c>
      <c r="U25" s="156" t="e">
        <f>VLOOKUP(A25,saisie!B$7:AL$26,21,0)</f>
        <v>#N/A</v>
      </c>
      <c r="V25" s="153" t="e">
        <f>VLOOKUP(A25,saisie!B$7:AL$26,22,0)</f>
        <v>#N/A</v>
      </c>
      <c r="W25" s="154" t="e">
        <f>VLOOKUP(A25,saisie!B$7:AL$26,23,0)</f>
        <v>#N/A</v>
      </c>
      <c r="X25" s="154" t="e">
        <f>VLOOKUP(A25,saisie!B$7:AL$26,24,0)</f>
        <v>#N/A</v>
      </c>
      <c r="Y25" s="154" t="e">
        <f>VLOOKUP(A25,saisie!B$7:AL$26,25,0)</f>
        <v>#N/A</v>
      </c>
      <c r="Z25" s="155" t="e">
        <f>VLOOKUP(A25,saisie!B$7:AL$26,26,0)</f>
        <v>#N/A</v>
      </c>
      <c r="AA25" s="156" t="e">
        <f>VLOOKUP(A25,saisie!B$7:AL$26,27,0)</f>
        <v>#N/A</v>
      </c>
      <c r="AB25" s="153" t="e">
        <f>VLOOKUP(A25,saisie!B$7:AL$26,28,0)</f>
        <v>#N/A</v>
      </c>
      <c r="AC25" s="154" t="e">
        <f>VLOOKUP(A25,saisie!B$7:AL$26,29,0)</f>
        <v>#N/A</v>
      </c>
      <c r="AD25" s="154" t="e">
        <f>VLOOKUP(A25,saisie!B$7:AL$26,30,0)</f>
        <v>#N/A</v>
      </c>
      <c r="AE25" s="154" t="e">
        <f>VLOOKUP(A25,saisie!B$7:AL$26,31,0)</f>
        <v>#N/A</v>
      </c>
      <c r="AF25" s="155" t="e">
        <f>VLOOKUP(A25,saisie!B$7:AL$26,32,0)</f>
        <v>#N/A</v>
      </c>
      <c r="AG25" s="156" t="e">
        <f>VLOOKUP(A25,saisie!B$7:AL$26,33,0)</f>
        <v>#N/A</v>
      </c>
      <c r="AH25" s="150" t="e">
        <f>VLOOKUP(A25,saisie!B$7:AL$26,34,0)</f>
        <v>#N/A</v>
      </c>
      <c r="AI25" s="157" t="e">
        <f>VLOOKUP(A25,saisie!B$7:AL$26,35,0)</f>
        <v>#N/A</v>
      </c>
      <c r="AJ25" s="158"/>
    </row>
    <row r="26" spans="1:36" ht="153" customHeight="1">
      <c r="A26" s="150" t="str">
        <f>IF(INFO!B8&gt;19,20,"")</f>
        <v/>
      </c>
      <c r="B26" s="151" t="e">
        <f>VLOOKUP(A26,saisie!B$7:AL$26,2,0)</f>
        <v>#N/A</v>
      </c>
      <c r="C26" s="152" t="e">
        <f>VLOOKUP(A26,saisie!B$7:AL$26,3,0)</f>
        <v>#N/A</v>
      </c>
      <c r="D26" s="153" t="e">
        <f>VLOOKUP(A26,saisie!B$7:AL$26,4,0)</f>
        <v>#N/A</v>
      </c>
      <c r="E26" s="154" t="e">
        <f>VLOOKUP(A26,saisie!B$7:AL$26,5,0)</f>
        <v>#N/A</v>
      </c>
      <c r="F26" s="154" t="e">
        <f>VLOOKUP(A26,saisie!B$7:AL$26,6,0)</f>
        <v>#N/A</v>
      </c>
      <c r="G26" s="154" t="e">
        <f>VLOOKUP(A26,saisie!B$7:AL$26,7,0)</f>
        <v>#N/A</v>
      </c>
      <c r="H26" s="155" t="e">
        <f>VLOOKUP(A26,saisie!B$7:AL$26,8,0)</f>
        <v>#N/A</v>
      </c>
      <c r="I26" s="156" t="e">
        <f>VLOOKUP(A26,saisie!B$7:AL$26,9,0)</f>
        <v>#N/A</v>
      </c>
      <c r="J26" s="153" t="e">
        <f>VLOOKUP(A26,saisie!B$7:AL$26,10,0)</f>
        <v>#N/A</v>
      </c>
      <c r="K26" s="154" t="e">
        <f>VLOOKUP(A26,saisie!B$7:AL$26,11,0)</f>
        <v>#N/A</v>
      </c>
      <c r="L26" s="154" t="e">
        <f>VLOOKUP(A26,saisie!B$7:AL$26,12,0)</f>
        <v>#N/A</v>
      </c>
      <c r="M26" s="154" t="e">
        <f>VLOOKUP(A26,saisie!B$7:AL$26,13,0)</f>
        <v>#N/A</v>
      </c>
      <c r="N26" s="155" t="e">
        <f>VLOOKUP(A26,saisie!B$7:AL$26,14,0)</f>
        <v>#N/A</v>
      </c>
      <c r="O26" s="156" t="e">
        <f>VLOOKUP(A26,saisie!B$7:AL$26,15,0)</f>
        <v>#N/A</v>
      </c>
      <c r="P26" s="153" t="e">
        <f>VLOOKUP(A26,saisie!B$7:AL$26,16,0)</f>
        <v>#N/A</v>
      </c>
      <c r="Q26" s="154" t="e">
        <f>VLOOKUP(A26,saisie!B$7:AL$26,17,0)</f>
        <v>#N/A</v>
      </c>
      <c r="R26" s="154" t="e">
        <f>VLOOKUP(A26,saisie!B$7:AL$26,18,0)</f>
        <v>#N/A</v>
      </c>
      <c r="S26" s="154" t="e">
        <f>VLOOKUP(A26,saisie!B$7:AL$26,19,0)</f>
        <v>#N/A</v>
      </c>
      <c r="T26" s="155" t="e">
        <f>VLOOKUP(A26,saisie!B$7:AL$26,20,0)</f>
        <v>#N/A</v>
      </c>
      <c r="U26" s="156" t="e">
        <f>VLOOKUP(A26,saisie!B$7:AL$26,21,0)</f>
        <v>#N/A</v>
      </c>
      <c r="V26" s="153" t="e">
        <f>VLOOKUP(A26,saisie!B$7:AL$26,22,0)</f>
        <v>#N/A</v>
      </c>
      <c r="W26" s="154" t="e">
        <f>VLOOKUP(A26,saisie!B$7:AL$26,23,0)</f>
        <v>#N/A</v>
      </c>
      <c r="X26" s="154" t="e">
        <f>VLOOKUP(A26,saisie!B$7:AL$26,24,0)</f>
        <v>#N/A</v>
      </c>
      <c r="Y26" s="154" t="e">
        <f>VLOOKUP(A26,saisie!B$7:AL$26,25,0)</f>
        <v>#N/A</v>
      </c>
      <c r="Z26" s="155" t="e">
        <f>VLOOKUP(A26,saisie!B$7:AL$26,26,0)</f>
        <v>#N/A</v>
      </c>
      <c r="AA26" s="156" t="e">
        <f>VLOOKUP(A26,saisie!B$7:AL$26,27,0)</f>
        <v>#N/A</v>
      </c>
      <c r="AB26" s="153" t="e">
        <f>VLOOKUP(A26,saisie!B$7:AL$26,28,0)</f>
        <v>#N/A</v>
      </c>
      <c r="AC26" s="154" t="e">
        <f>VLOOKUP(A26,saisie!B$7:AL$26,29,0)</f>
        <v>#N/A</v>
      </c>
      <c r="AD26" s="154" t="e">
        <f>VLOOKUP(A26,saisie!B$7:AL$26,30,0)</f>
        <v>#N/A</v>
      </c>
      <c r="AE26" s="154" t="e">
        <f>VLOOKUP(A26,saisie!B$7:AL$26,31,0)</f>
        <v>#N/A</v>
      </c>
      <c r="AF26" s="155" t="e">
        <f>VLOOKUP(A26,saisie!B$7:AL$26,32,0)</f>
        <v>#N/A</v>
      </c>
      <c r="AG26" s="156" t="e">
        <f>VLOOKUP(A26,saisie!B$7:AL$26,33,0)</f>
        <v>#N/A</v>
      </c>
      <c r="AH26" s="150" t="e">
        <f>VLOOKUP(A26,saisie!B$7:AL$26,34,0)</f>
        <v>#N/A</v>
      </c>
      <c r="AI26" s="157" t="e">
        <f>VLOOKUP(A26,saisie!B$7:AL$26,35,0)</f>
        <v>#N/A</v>
      </c>
      <c r="AJ26" s="158"/>
    </row>
    <row r="27" spans="1:36" ht="109.05" customHeight="1">
      <c r="A27" s="159" t="str">
        <f>IF(INFO!B8&gt;20,21,"")</f>
        <v/>
      </c>
      <c r="B27" s="151" t="e">
        <f>VLOOKUP(A27,saisie!B$7:AL$26,2,0)</f>
        <v>#N/A</v>
      </c>
      <c r="C27" s="152" t="e">
        <f>VLOOKUP(A27,saisie!B$7:AL$26,3,0)</f>
        <v>#N/A</v>
      </c>
      <c r="D27" s="153" t="e">
        <f>VLOOKUP(A27,saisie!B$7:AL$26,4,0)</f>
        <v>#N/A</v>
      </c>
      <c r="E27" s="154" t="e">
        <f>VLOOKUP(A27,saisie!B$7:AL$26,5,0)</f>
        <v>#N/A</v>
      </c>
      <c r="F27" s="154" t="e">
        <f>VLOOKUP(A27,saisie!B$7:AL$26,6,0)</f>
        <v>#N/A</v>
      </c>
      <c r="G27" s="154" t="e">
        <f>VLOOKUP(A27,saisie!B$7:AL$26,7,0)</f>
        <v>#N/A</v>
      </c>
      <c r="H27" s="155" t="e">
        <f>VLOOKUP(A27,saisie!B$7:AL$26,8,0)</f>
        <v>#N/A</v>
      </c>
      <c r="I27" s="156" t="e">
        <f>VLOOKUP(A27,saisie!B$7:AL$26,9,0)</f>
        <v>#N/A</v>
      </c>
      <c r="J27" s="153" t="e">
        <f>VLOOKUP(A27,saisie!B$7:AL$26,10,0)</f>
        <v>#N/A</v>
      </c>
      <c r="K27" s="154" t="e">
        <f>VLOOKUP(A27,saisie!B$7:AL$26,11,0)</f>
        <v>#N/A</v>
      </c>
      <c r="L27" s="154" t="e">
        <f>VLOOKUP(A27,saisie!B$7:AL$26,12,0)</f>
        <v>#N/A</v>
      </c>
      <c r="M27" s="154" t="e">
        <f>VLOOKUP(A27,saisie!B$7:AL$26,13,0)</f>
        <v>#N/A</v>
      </c>
      <c r="N27" s="155" t="e">
        <f>VLOOKUP(A27,saisie!B$7:AL$26,14,0)</f>
        <v>#N/A</v>
      </c>
      <c r="O27" s="156" t="e">
        <f>VLOOKUP(A27,saisie!B$7:AL$26,15,0)</f>
        <v>#N/A</v>
      </c>
      <c r="P27" s="153" t="e">
        <f>VLOOKUP(A27,saisie!B$7:AL$26,16,0)</f>
        <v>#N/A</v>
      </c>
      <c r="Q27" s="154" t="e">
        <f>VLOOKUP(A27,saisie!B$7:AL$26,17,0)</f>
        <v>#N/A</v>
      </c>
      <c r="R27" s="154" t="e">
        <f>VLOOKUP(A27,saisie!B$7:AL$26,18,0)</f>
        <v>#N/A</v>
      </c>
      <c r="S27" s="154" t="e">
        <f>VLOOKUP(A27,saisie!B$7:AL$26,19,0)</f>
        <v>#N/A</v>
      </c>
      <c r="T27" s="155" t="e">
        <f>VLOOKUP(A27,saisie!B$7:AL$26,20,0)</f>
        <v>#N/A</v>
      </c>
      <c r="U27" s="156" t="e">
        <f>VLOOKUP(A27,saisie!B$7:AL$26,21,0)</f>
        <v>#N/A</v>
      </c>
      <c r="V27" s="153" t="e">
        <f>VLOOKUP(A27,saisie!B$7:AL$26,22,0)</f>
        <v>#N/A</v>
      </c>
      <c r="W27" s="154" t="e">
        <f>VLOOKUP(A27,saisie!B$7:AL$26,23,0)</f>
        <v>#N/A</v>
      </c>
      <c r="X27" s="154" t="e">
        <f>VLOOKUP(A27,saisie!B$7:AL$26,24,0)</f>
        <v>#N/A</v>
      </c>
      <c r="Y27" s="154" t="e">
        <f>VLOOKUP(A27,saisie!B$7:AL$26,25,0)</f>
        <v>#N/A</v>
      </c>
      <c r="Z27" s="155" t="e">
        <f>VLOOKUP(A27,saisie!B$7:AL$26,26,0)</f>
        <v>#N/A</v>
      </c>
      <c r="AA27" s="156" t="e">
        <f>VLOOKUP(A27,saisie!B$7:AL$26,27,0)</f>
        <v>#N/A</v>
      </c>
      <c r="AB27" s="153" t="e">
        <f>VLOOKUP(A27,saisie!B$7:AL$26,28,0)</f>
        <v>#N/A</v>
      </c>
      <c r="AC27" s="154" t="e">
        <f>VLOOKUP(A27,saisie!B$7:AL$26,29,0)</f>
        <v>#N/A</v>
      </c>
      <c r="AD27" s="154" t="e">
        <f>VLOOKUP(A27,saisie!B$7:AL$26,30,0)</f>
        <v>#N/A</v>
      </c>
      <c r="AE27" s="154" t="e">
        <f>VLOOKUP(A27,saisie!B$7:AL$26,31,0)</f>
        <v>#N/A</v>
      </c>
      <c r="AF27" s="155" t="e">
        <f>VLOOKUP(A27,saisie!B$7:AL$26,32,0)</f>
        <v>#N/A</v>
      </c>
      <c r="AG27" s="156" t="e">
        <f>VLOOKUP(A27,saisie!B$7:AL$26,33,0)</f>
        <v>#N/A</v>
      </c>
      <c r="AH27" s="160" t="e">
        <f>VLOOKUP(A27,saisie!B$7:AL$26,34,0)</f>
        <v>#N/A</v>
      </c>
      <c r="AI27" s="157" t="e">
        <f>VLOOKUP(A27,saisie!B$7:AL$26,35,0)</f>
        <v>#N/A</v>
      </c>
      <c r="AJ27" s="158"/>
    </row>
    <row r="28" spans="1:36" ht="109.05" customHeight="1">
      <c r="A28" s="159" t="str">
        <f>IF(INFO!B8&gt;21,22,"")</f>
        <v/>
      </c>
      <c r="B28" s="151" t="e">
        <f>VLOOKUP(A28,saisie!B$7:AL$26,2,0)</f>
        <v>#N/A</v>
      </c>
      <c r="C28" s="152" t="e">
        <f>VLOOKUP(A28,saisie!B$7:AL$26,3,0)</f>
        <v>#N/A</v>
      </c>
      <c r="D28" s="153" t="e">
        <f>VLOOKUP(A28,saisie!B$7:AL$26,4,0)</f>
        <v>#N/A</v>
      </c>
      <c r="E28" s="154" t="e">
        <f>VLOOKUP(A28,saisie!B$7:AL$26,5,0)</f>
        <v>#N/A</v>
      </c>
      <c r="F28" s="154" t="e">
        <f>VLOOKUP(A28,saisie!B$7:AL$26,6,0)</f>
        <v>#N/A</v>
      </c>
      <c r="G28" s="154" t="e">
        <f>VLOOKUP(A28,saisie!B$7:AL$26,7,0)</f>
        <v>#N/A</v>
      </c>
      <c r="H28" s="155" t="e">
        <f>VLOOKUP(A28,saisie!B$7:AL$26,8,0)</f>
        <v>#N/A</v>
      </c>
      <c r="I28" s="156" t="e">
        <f>VLOOKUP(A28,saisie!B$7:AL$26,9,0)</f>
        <v>#N/A</v>
      </c>
      <c r="J28" s="153" t="e">
        <f>VLOOKUP(A28,saisie!B$7:AL$26,10,0)</f>
        <v>#N/A</v>
      </c>
      <c r="K28" s="154" t="e">
        <f>VLOOKUP(A28,saisie!B$7:AL$26,11,0)</f>
        <v>#N/A</v>
      </c>
      <c r="L28" s="154" t="e">
        <f>VLOOKUP(A28,saisie!B$7:AL$26,12,0)</f>
        <v>#N/A</v>
      </c>
      <c r="M28" s="154" t="e">
        <f>VLOOKUP(A28,saisie!B$7:AL$26,13,0)</f>
        <v>#N/A</v>
      </c>
      <c r="N28" s="155" t="e">
        <f>VLOOKUP(A28,saisie!B$7:AL$26,14,0)</f>
        <v>#N/A</v>
      </c>
      <c r="O28" s="156" t="e">
        <f>VLOOKUP(A28,saisie!B$7:AL$26,15,0)</f>
        <v>#N/A</v>
      </c>
      <c r="P28" s="153" t="e">
        <f>VLOOKUP(A28,saisie!B$7:AL$26,16,0)</f>
        <v>#N/A</v>
      </c>
      <c r="Q28" s="154" t="e">
        <f>VLOOKUP(A28,saisie!B$7:AL$26,17,0)</f>
        <v>#N/A</v>
      </c>
      <c r="R28" s="154" t="e">
        <f>VLOOKUP(A28,saisie!B$7:AL$26,18,0)</f>
        <v>#N/A</v>
      </c>
      <c r="S28" s="154" t="e">
        <f>VLOOKUP(A28,saisie!B$7:AL$26,19,0)</f>
        <v>#N/A</v>
      </c>
      <c r="T28" s="155" t="e">
        <f>VLOOKUP(A28,saisie!B$7:AL$26,20,0)</f>
        <v>#N/A</v>
      </c>
      <c r="U28" s="156" t="e">
        <f>VLOOKUP(A28,saisie!B$7:AL$26,21,0)</f>
        <v>#N/A</v>
      </c>
      <c r="V28" s="153" t="e">
        <f>VLOOKUP(A28,saisie!B$7:AL$26,22,0)</f>
        <v>#N/A</v>
      </c>
      <c r="W28" s="154" t="e">
        <f>VLOOKUP(A28,saisie!B$7:AL$26,23,0)</f>
        <v>#N/A</v>
      </c>
      <c r="X28" s="154" t="e">
        <f>VLOOKUP(A28,saisie!B$7:AL$26,24,0)</f>
        <v>#N/A</v>
      </c>
      <c r="Y28" s="154" t="e">
        <f>VLOOKUP(A28,saisie!B$7:AL$26,25,0)</f>
        <v>#N/A</v>
      </c>
      <c r="Z28" s="155" t="e">
        <f>VLOOKUP(A28,saisie!B$7:AL$26,26,0)</f>
        <v>#N/A</v>
      </c>
      <c r="AA28" s="156" t="e">
        <f>VLOOKUP(A28,saisie!B$7:AL$26,27,0)</f>
        <v>#N/A</v>
      </c>
      <c r="AB28" s="153" t="e">
        <f>VLOOKUP(A28,saisie!B$7:AL$26,28,0)</f>
        <v>#N/A</v>
      </c>
      <c r="AC28" s="154" t="e">
        <f>VLOOKUP(A28,saisie!B$7:AL$26,29,0)</f>
        <v>#N/A</v>
      </c>
      <c r="AD28" s="154" t="e">
        <f>VLOOKUP(A28,saisie!B$7:AL$26,30,0)</f>
        <v>#N/A</v>
      </c>
      <c r="AE28" s="154" t="e">
        <f>VLOOKUP(A28,saisie!B$7:AL$26,31,0)</f>
        <v>#N/A</v>
      </c>
      <c r="AF28" s="155" t="e">
        <f>VLOOKUP(A28,saisie!B$7:AL$26,32,0)</f>
        <v>#N/A</v>
      </c>
      <c r="AG28" s="156" t="e">
        <f>VLOOKUP(A28,saisie!B$7:AL$26,33,0)</f>
        <v>#N/A</v>
      </c>
      <c r="AH28" s="160" t="e">
        <f>VLOOKUP(A28,saisie!B$7:AL$26,34,0)</f>
        <v>#N/A</v>
      </c>
      <c r="AI28" s="157" t="e">
        <f>VLOOKUP(A28,saisie!B$7:AL$26,35,0)</f>
        <v>#N/A</v>
      </c>
      <c r="AJ28" s="158"/>
    </row>
    <row r="29" spans="1:36" ht="109.05" customHeight="1">
      <c r="A29" s="159" t="str">
        <f>IF(INFO!B8&gt;22,23,"")</f>
        <v/>
      </c>
      <c r="B29" s="151" t="e">
        <f>VLOOKUP(A29,saisie!B$7:AL$26,2,0)</f>
        <v>#N/A</v>
      </c>
      <c r="C29" s="152" t="e">
        <f>VLOOKUP(A29,saisie!B$7:AL$26,3,0)</f>
        <v>#N/A</v>
      </c>
      <c r="D29" s="153" t="e">
        <f>VLOOKUP(A29,saisie!B$7:AL$26,4,0)</f>
        <v>#N/A</v>
      </c>
      <c r="E29" s="154" t="e">
        <f>VLOOKUP(A29,saisie!B$7:AL$26,5,0)</f>
        <v>#N/A</v>
      </c>
      <c r="F29" s="154" t="e">
        <f>VLOOKUP(A29,saisie!B$7:AL$26,6,0)</f>
        <v>#N/A</v>
      </c>
      <c r="G29" s="154" t="e">
        <f>VLOOKUP(A29,saisie!B$7:AL$26,7,0)</f>
        <v>#N/A</v>
      </c>
      <c r="H29" s="155" t="e">
        <f>VLOOKUP(A29,saisie!B$7:AL$26,8,0)</f>
        <v>#N/A</v>
      </c>
      <c r="I29" s="156" t="e">
        <f>VLOOKUP(A29,saisie!B$7:AL$26,9,0)</f>
        <v>#N/A</v>
      </c>
      <c r="J29" s="153" t="e">
        <f>VLOOKUP(A29,saisie!B$7:AL$26,10,0)</f>
        <v>#N/A</v>
      </c>
      <c r="K29" s="154" t="e">
        <f>VLOOKUP(A29,saisie!B$7:AL$26,11,0)</f>
        <v>#N/A</v>
      </c>
      <c r="L29" s="154" t="e">
        <f>VLOOKUP(A29,saisie!B$7:AL$26,12,0)</f>
        <v>#N/A</v>
      </c>
      <c r="M29" s="154" t="e">
        <f>VLOOKUP(A29,saisie!B$7:AL$26,13,0)</f>
        <v>#N/A</v>
      </c>
      <c r="N29" s="155" t="e">
        <f>VLOOKUP(A29,saisie!B$7:AL$26,14,0)</f>
        <v>#N/A</v>
      </c>
      <c r="O29" s="156" t="e">
        <f>VLOOKUP(A29,saisie!B$7:AL$26,15,0)</f>
        <v>#N/A</v>
      </c>
      <c r="P29" s="153" t="e">
        <f>VLOOKUP(A29,saisie!B$7:AL$26,16,0)</f>
        <v>#N/A</v>
      </c>
      <c r="Q29" s="154" t="e">
        <f>VLOOKUP(A29,saisie!B$7:AL$26,17,0)</f>
        <v>#N/A</v>
      </c>
      <c r="R29" s="154" t="e">
        <f>VLOOKUP(A29,saisie!B$7:AL$26,18,0)</f>
        <v>#N/A</v>
      </c>
      <c r="S29" s="154" t="e">
        <f>VLOOKUP(A29,saisie!B$7:AL$26,19,0)</f>
        <v>#N/A</v>
      </c>
      <c r="T29" s="155" t="e">
        <f>VLOOKUP(A29,saisie!B$7:AL$26,20,0)</f>
        <v>#N/A</v>
      </c>
      <c r="U29" s="156" t="e">
        <f>VLOOKUP(A29,saisie!B$7:AL$26,21,0)</f>
        <v>#N/A</v>
      </c>
      <c r="V29" s="153" t="e">
        <f>VLOOKUP(A29,saisie!B$7:AL$26,22,0)</f>
        <v>#N/A</v>
      </c>
      <c r="W29" s="154" t="e">
        <f>VLOOKUP(A29,saisie!B$7:AL$26,23,0)</f>
        <v>#N/A</v>
      </c>
      <c r="X29" s="154" t="e">
        <f>VLOOKUP(A29,saisie!B$7:AL$26,24,0)</f>
        <v>#N/A</v>
      </c>
      <c r="Y29" s="154" t="e">
        <f>VLOOKUP(A29,saisie!B$7:AL$26,25,0)</f>
        <v>#N/A</v>
      </c>
      <c r="Z29" s="155" t="e">
        <f>VLOOKUP(A29,saisie!B$7:AL$26,26,0)</f>
        <v>#N/A</v>
      </c>
      <c r="AA29" s="156" t="e">
        <f>VLOOKUP(A29,saisie!B$7:AL$26,27,0)</f>
        <v>#N/A</v>
      </c>
      <c r="AB29" s="153" t="e">
        <f>VLOOKUP(A29,saisie!B$7:AL$26,28,0)</f>
        <v>#N/A</v>
      </c>
      <c r="AC29" s="154" t="e">
        <f>VLOOKUP(A29,saisie!B$7:AL$26,29,0)</f>
        <v>#N/A</v>
      </c>
      <c r="AD29" s="154" t="e">
        <f>VLOOKUP(A29,saisie!B$7:AL$26,30,0)</f>
        <v>#N/A</v>
      </c>
      <c r="AE29" s="154" t="e">
        <f>VLOOKUP(A29,saisie!B$7:AL$26,31,0)</f>
        <v>#N/A</v>
      </c>
      <c r="AF29" s="155" t="e">
        <f>VLOOKUP(A29,saisie!B$7:AL$26,32,0)</f>
        <v>#N/A</v>
      </c>
      <c r="AG29" s="156" t="e">
        <f>VLOOKUP(A29,saisie!B$7:AL$26,33,0)</f>
        <v>#N/A</v>
      </c>
      <c r="AH29" s="160" t="e">
        <f>VLOOKUP(A29,saisie!B$7:AL$26,34,0)</f>
        <v>#N/A</v>
      </c>
      <c r="AI29" s="157" t="e">
        <f>VLOOKUP(A29,saisie!B$7:AL$26,35,0)</f>
        <v>#N/A</v>
      </c>
      <c r="AJ29" s="158"/>
    </row>
    <row r="30" spans="1:36" ht="109.05" customHeight="1">
      <c r="A30" s="159" t="str">
        <f>IF(INFO!B8&gt;23,24,"")</f>
        <v/>
      </c>
      <c r="B30" s="151" t="e">
        <f>VLOOKUP(A30,saisie!B$7:AL$26,2,0)</f>
        <v>#N/A</v>
      </c>
      <c r="C30" s="152" t="e">
        <f>VLOOKUP(A30,saisie!B$7:AL$26,3,0)</f>
        <v>#N/A</v>
      </c>
      <c r="D30" s="153" t="e">
        <f>VLOOKUP(A30,saisie!B$7:AL$26,4,0)</f>
        <v>#N/A</v>
      </c>
      <c r="E30" s="154" t="e">
        <f>VLOOKUP(A30,saisie!B$7:AL$26,5,0)</f>
        <v>#N/A</v>
      </c>
      <c r="F30" s="154" t="e">
        <f>VLOOKUP(A30,saisie!B$7:AL$26,6,0)</f>
        <v>#N/A</v>
      </c>
      <c r="G30" s="154" t="e">
        <f>VLOOKUP(A30,saisie!B$7:AL$26,7,0)</f>
        <v>#N/A</v>
      </c>
      <c r="H30" s="155" t="e">
        <f>VLOOKUP(A30,saisie!B$7:AL$26,8,0)</f>
        <v>#N/A</v>
      </c>
      <c r="I30" s="156" t="e">
        <f>VLOOKUP(A30,saisie!B$7:AL$26,9,0)</f>
        <v>#N/A</v>
      </c>
      <c r="J30" s="153" t="e">
        <f>VLOOKUP(A30,saisie!B$7:AL$26,10,0)</f>
        <v>#N/A</v>
      </c>
      <c r="K30" s="154" t="e">
        <f>VLOOKUP(A30,saisie!B$7:AL$26,11,0)</f>
        <v>#N/A</v>
      </c>
      <c r="L30" s="154" t="e">
        <f>VLOOKUP(A30,saisie!B$7:AL$26,12,0)</f>
        <v>#N/A</v>
      </c>
      <c r="M30" s="154" t="e">
        <f>VLOOKUP(A30,saisie!B$7:AL$26,13,0)</f>
        <v>#N/A</v>
      </c>
      <c r="N30" s="155" t="e">
        <f>VLOOKUP(A30,saisie!B$7:AL$26,14,0)</f>
        <v>#N/A</v>
      </c>
      <c r="O30" s="156" t="e">
        <f>VLOOKUP(A30,saisie!B$7:AL$26,15,0)</f>
        <v>#N/A</v>
      </c>
      <c r="P30" s="153" t="e">
        <f>VLOOKUP(A30,saisie!B$7:AL$26,16,0)</f>
        <v>#N/A</v>
      </c>
      <c r="Q30" s="154" t="e">
        <f>VLOOKUP(A30,saisie!B$7:AL$26,17,0)</f>
        <v>#N/A</v>
      </c>
      <c r="R30" s="154" t="e">
        <f>VLOOKUP(A30,saisie!B$7:AL$26,18,0)</f>
        <v>#N/A</v>
      </c>
      <c r="S30" s="154" t="e">
        <f>VLOOKUP(A30,saisie!B$7:AL$26,19,0)</f>
        <v>#N/A</v>
      </c>
      <c r="T30" s="155" t="e">
        <f>VLOOKUP(A30,saisie!B$7:AL$26,20,0)</f>
        <v>#N/A</v>
      </c>
      <c r="U30" s="156" t="e">
        <f>VLOOKUP(A30,saisie!B$7:AL$26,21,0)</f>
        <v>#N/A</v>
      </c>
      <c r="V30" s="153" t="e">
        <f>VLOOKUP(A30,saisie!B$7:AL$26,22,0)</f>
        <v>#N/A</v>
      </c>
      <c r="W30" s="154" t="e">
        <f>VLOOKUP(A30,saisie!B$7:AL$26,23,0)</f>
        <v>#N/A</v>
      </c>
      <c r="X30" s="154" t="e">
        <f>VLOOKUP(A30,saisie!B$7:AL$26,24,0)</f>
        <v>#N/A</v>
      </c>
      <c r="Y30" s="154" t="e">
        <f>VLOOKUP(A30,saisie!B$7:AL$26,25,0)</f>
        <v>#N/A</v>
      </c>
      <c r="Z30" s="155" t="e">
        <f>VLOOKUP(A30,saisie!B$7:AL$26,26,0)</f>
        <v>#N/A</v>
      </c>
      <c r="AA30" s="156" t="e">
        <f>VLOOKUP(A30,saisie!B$7:AL$26,27,0)</f>
        <v>#N/A</v>
      </c>
      <c r="AB30" s="153" t="e">
        <f>VLOOKUP(A30,saisie!B$7:AL$26,28,0)</f>
        <v>#N/A</v>
      </c>
      <c r="AC30" s="154" t="e">
        <f>VLOOKUP(A30,saisie!B$7:AL$26,29,0)</f>
        <v>#N/A</v>
      </c>
      <c r="AD30" s="154" t="e">
        <f>VLOOKUP(A30,saisie!B$7:AL$26,30,0)</f>
        <v>#N/A</v>
      </c>
      <c r="AE30" s="154" t="e">
        <f>VLOOKUP(A30,saisie!B$7:AL$26,31,0)</f>
        <v>#N/A</v>
      </c>
      <c r="AF30" s="155" t="e">
        <f>VLOOKUP(A30,saisie!B$7:AL$26,32,0)</f>
        <v>#N/A</v>
      </c>
      <c r="AG30" s="156" t="e">
        <f>VLOOKUP(A30,saisie!B$7:AL$26,33,0)</f>
        <v>#N/A</v>
      </c>
      <c r="AH30" s="160" t="e">
        <f>VLOOKUP(A30,saisie!B$7:AL$26,34,0)</f>
        <v>#N/A</v>
      </c>
      <c r="AI30" s="157" t="e">
        <f>VLOOKUP(A30,saisie!B$7:AL$26,35,0)</f>
        <v>#N/A</v>
      </c>
      <c r="AJ30" s="158"/>
    </row>
    <row r="31" spans="1:36" ht="109.05" customHeight="1">
      <c r="A31" s="159" t="str">
        <f>IF(INFO!B8&gt;24,25,"")</f>
        <v/>
      </c>
      <c r="B31" s="151" t="e">
        <f>VLOOKUP(A31,saisie!B$7:AL$26,2,0)</f>
        <v>#N/A</v>
      </c>
      <c r="C31" s="152" t="e">
        <f>VLOOKUP(A31,saisie!B$7:AL$26,3,0)</f>
        <v>#N/A</v>
      </c>
      <c r="D31" s="153" t="e">
        <f>VLOOKUP(A31,saisie!B$7:AL$26,4,0)</f>
        <v>#N/A</v>
      </c>
      <c r="E31" s="154" t="e">
        <f>VLOOKUP(A31,saisie!B$7:AL$26,5,0)</f>
        <v>#N/A</v>
      </c>
      <c r="F31" s="154" t="e">
        <f>VLOOKUP(A31,saisie!B$7:AL$26,6,0)</f>
        <v>#N/A</v>
      </c>
      <c r="G31" s="154" t="e">
        <f>VLOOKUP(A31,saisie!B$7:AL$26,7,0)</f>
        <v>#N/A</v>
      </c>
      <c r="H31" s="155" t="e">
        <f>VLOOKUP(A31,saisie!B$7:AL$26,8,0)</f>
        <v>#N/A</v>
      </c>
      <c r="I31" s="156" t="e">
        <f>VLOOKUP(A31,saisie!B$7:AL$26,9,0)</f>
        <v>#N/A</v>
      </c>
      <c r="J31" s="153" t="e">
        <f>VLOOKUP(A31,saisie!B$7:AL$26,10,0)</f>
        <v>#N/A</v>
      </c>
      <c r="K31" s="154" t="e">
        <f>VLOOKUP(A31,saisie!B$7:AL$26,11,0)</f>
        <v>#N/A</v>
      </c>
      <c r="L31" s="154" t="e">
        <f>VLOOKUP(A31,saisie!B$7:AL$26,12,0)</f>
        <v>#N/A</v>
      </c>
      <c r="M31" s="154" t="e">
        <f>VLOOKUP(A31,saisie!B$7:AL$26,13,0)</f>
        <v>#N/A</v>
      </c>
      <c r="N31" s="155" t="e">
        <f>VLOOKUP(A31,saisie!B$7:AL$26,14,0)</f>
        <v>#N/A</v>
      </c>
      <c r="O31" s="156" t="e">
        <f>VLOOKUP(A31,saisie!B$7:AL$26,15,0)</f>
        <v>#N/A</v>
      </c>
      <c r="P31" s="153" t="e">
        <f>VLOOKUP(A31,saisie!B$7:AL$26,16,0)</f>
        <v>#N/A</v>
      </c>
      <c r="Q31" s="154" t="e">
        <f>VLOOKUP(A31,saisie!B$7:AL$26,17,0)</f>
        <v>#N/A</v>
      </c>
      <c r="R31" s="154" t="e">
        <f>VLOOKUP(A31,saisie!B$7:AL$26,18,0)</f>
        <v>#N/A</v>
      </c>
      <c r="S31" s="154" t="e">
        <f>VLOOKUP(A31,saisie!B$7:AL$26,19,0)</f>
        <v>#N/A</v>
      </c>
      <c r="T31" s="155" t="e">
        <f>VLOOKUP(A31,saisie!B$7:AL$26,20,0)</f>
        <v>#N/A</v>
      </c>
      <c r="U31" s="156" t="e">
        <f>VLOOKUP(A31,saisie!B$7:AL$26,21,0)</f>
        <v>#N/A</v>
      </c>
      <c r="V31" s="153" t="e">
        <f>VLOOKUP(A31,saisie!B$7:AL$26,22,0)</f>
        <v>#N/A</v>
      </c>
      <c r="W31" s="154" t="e">
        <f>VLOOKUP(A31,saisie!B$7:AL$26,23,0)</f>
        <v>#N/A</v>
      </c>
      <c r="X31" s="154" t="e">
        <f>VLOOKUP(A31,saisie!B$7:AL$26,24,0)</f>
        <v>#N/A</v>
      </c>
      <c r="Y31" s="154" t="e">
        <f>VLOOKUP(A31,saisie!B$7:AL$26,25,0)</f>
        <v>#N/A</v>
      </c>
      <c r="Z31" s="155" t="e">
        <f>VLOOKUP(A31,saisie!B$7:AL$26,26,0)</f>
        <v>#N/A</v>
      </c>
      <c r="AA31" s="156" t="e">
        <f>VLOOKUP(A31,saisie!B$7:AL$26,27,0)</f>
        <v>#N/A</v>
      </c>
      <c r="AB31" s="153" t="e">
        <f>VLOOKUP(A31,saisie!B$7:AL$26,28,0)</f>
        <v>#N/A</v>
      </c>
      <c r="AC31" s="154" t="e">
        <f>VLOOKUP(A31,saisie!B$7:AL$26,29,0)</f>
        <v>#N/A</v>
      </c>
      <c r="AD31" s="154" t="e">
        <f>VLOOKUP(A31,saisie!B$7:AL$26,30,0)</f>
        <v>#N/A</v>
      </c>
      <c r="AE31" s="154" t="e">
        <f>VLOOKUP(A31,saisie!B$7:AL$26,31,0)</f>
        <v>#N/A</v>
      </c>
      <c r="AF31" s="155" t="e">
        <f>VLOOKUP(A31,saisie!B$7:AL$26,32,0)</f>
        <v>#N/A</v>
      </c>
      <c r="AG31" s="156" t="e">
        <f>VLOOKUP(A31,saisie!B$7:AL$26,33,0)</f>
        <v>#N/A</v>
      </c>
      <c r="AH31" s="160" t="e">
        <f>VLOOKUP(A31,saisie!B$7:AL$26,34,0)</f>
        <v>#N/A</v>
      </c>
      <c r="AI31" s="157" t="e">
        <f>VLOOKUP(A31,saisie!B$7:AL$26,35,0)</f>
        <v>#N/A</v>
      </c>
      <c r="AJ31" s="158"/>
    </row>
    <row r="32" spans="1:36" ht="109.05" customHeight="1">
      <c r="A32" s="159" t="str">
        <f>IF(INFO!B8&gt;25,26,"")</f>
        <v/>
      </c>
      <c r="B32" s="151" t="e">
        <f>VLOOKUP(A32,saisie!B$7:AL$26,2,0)</f>
        <v>#N/A</v>
      </c>
      <c r="C32" s="152" t="e">
        <f>VLOOKUP(A32,saisie!B$7:AL$26,3,0)</f>
        <v>#N/A</v>
      </c>
      <c r="D32" s="153" t="e">
        <f>VLOOKUP(A32,saisie!B$7:AL$26,4,0)</f>
        <v>#N/A</v>
      </c>
      <c r="E32" s="154" t="e">
        <f>VLOOKUP(A32,saisie!B$7:AL$26,5,0)</f>
        <v>#N/A</v>
      </c>
      <c r="F32" s="154" t="e">
        <f>VLOOKUP(A32,saisie!B$7:AL$26,6,0)</f>
        <v>#N/A</v>
      </c>
      <c r="G32" s="154" t="e">
        <f>VLOOKUP(A32,saisie!B$7:AL$26,7,0)</f>
        <v>#N/A</v>
      </c>
      <c r="H32" s="155" t="e">
        <f>VLOOKUP(A32,saisie!B$7:AL$26,8,0)</f>
        <v>#N/A</v>
      </c>
      <c r="I32" s="156" t="e">
        <f>VLOOKUP(A32,saisie!B$7:AL$26,9,0)</f>
        <v>#N/A</v>
      </c>
      <c r="J32" s="153" t="e">
        <f>VLOOKUP(A32,saisie!B$7:AL$26,10,0)</f>
        <v>#N/A</v>
      </c>
      <c r="K32" s="154" t="e">
        <f>VLOOKUP(A32,saisie!B$7:AL$26,11,0)</f>
        <v>#N/A</v>
      </c>
      <c r="L32" s="154" t="e">
        <f>VLOOKUP(A32,saisie!B$7:AL$26,12,0)</f>
        <v>#N/A</v>
      </c>
      <c r="M32" s="154" t="e">
        <f>VLOOKUP(A32,saisie!B$7:AL$26,13,0)</f>
        <v>#N/A</v>
      </c>
      <c r="N32" s="155" t="e">
        <f>VLOOKUP(A32,saisie!B$7:AL$26,14,0)</f>
        <v>#N/A</v>
      </c>
      <c r="O32" s="156" t="e">
        <f>VLOOKUP(A32,saisie!B$7:AL$26,15,0)</f>
        <v>#N/A</v>
      </c>
      <c r="P32" s="153" t="e">
        <f>VLOOKUP(A32,saisie!B$7:AL$26,16,0)</f>
        <v>#N/A</v>
      </c>
      <c r="Q32" s="154" t="e">
        <f>VLOOKUP(A32,saisie!B$7:AL$26,17,0)</f>
        <v>#N/A</v>
      </c>
      <c r="R32" s="154" t="e">
        <f>VLOOKUP(A32,saisie!B$7:AL$26,18,0)</f>
        <v>#N/A</v>
      </c>
      <c r="S32" s="154" t="e">
        <f>VLOOKUP(A32,saisie!B$7:AL$26,19,0)</f>
        <v>#N/A</v>
      </c>
      <c r="T32" s="155" t="e">
        <f>VLOOKUP(A32,saisie!B$7:AL$26,20,0)</f>
        <v>#N/A</v>
      </c>
      <c r="U32" s="156" t="e">
        <f>VLOOKUP(A32,saisie!B$7:AL$26,21,0)</f>
        <v>#N/A</v>
      </c>
      <c r="V32" s="153" t="e">
        <f>VLOOKUP(A32,saisie!B$7:AL$26,22,0)</f>
        <v>#N/A</v>
      </c>
      <c r="W32" s="154" t="e">
        <f>VLOOKUP(A32,saisie!B$7:AL$26,23,0)</f>
        <v>#N/A</v>
      </c>
      <c r="X32" s="154" t="e">
        <f>VLOOKUP(A32,saisie!B$7:AL$26,24,0)</f>
        <v>#N/A</v>
      </c>
      <c r="Y32" s="154" t="e">
        <f>VLOOKUP(A32,saisie!B$7:AL$26,25,0)</f>
        <v>#N/A</v>
      </c>
      <c r="Z32" s="155" t="e">
        <f>VLOOKUP(A32,saisie!B$7:AL$26,26,0)</f>
        <v>#N/A</v>
      </c>
      <c r="AA32" s="156" t="e">
        <f>VLOOKUP(A32,saisie!B$7:AL$26,27,0)</f>
        <v>#N/A</v>
      </c>
      <c r="AB32" s="153" t="e">
        <f>VLOOKUP(A32,saisie!B$7:AL$26,28,0)</f>
        <v>#N/A</v>
      </c>
      <c r="AC32" s="154" t="e">
        <f>VLOOKUP(A32,saisie!B$7:AL$26,29,0)</f>
        <v>#N/A</v>
      </c>
      <c r="AD32" s="154" t="e">
        <f>VLOOKUP(A32,saisie!B$7:AL$26,30,0)</f>
        <v>#N/A</v>
      </c>
      <c r="AE32" s="154" t="e">
        <f>VLOOKUP(A32,saisie!B$7:AL$26,31,0)</f>
        <v>#N/A</v>
      </c>
      <c r="AF32" s="155" t="e">
        <f>VLOOKUP(A32,saisie!B$7:AL$26,32,0)</f>
        <v>#N/A</v>
      </c>
      <c r="AG32" s="156" t="e">
        <f>VLOOKUP(A32,saisie!B$7:AL$26,33,0)</f>
        <v>#N/A</v>
      </c>
      <c r="AH32" s="160" t="e">
        <f>VLOOKUP(A32,saisie!B$7:AL$26,34,0)</f>
        <v>#N/A</v>
      </c>
      <c r="AI32" s="157" t="e">
        <f>VLOOKUP(A32,saisie!B$7:AL$26,35,0)</f>
        <v>#N/A</v>
      </c>
      <c r="AJ32" s="158"/>
    </row>
    <row r="33" spans="1:36" ht="109.05" customHeight="1">
      <c r="A33" s="159" t="str">
        <f>IF(INFO!B8&gt;26,27,"")</f>
        <v/>
      </c>
      <c r="B33" s="151" t="e">
        <f>VLOOKUP(A33,saisie!B$7:AL$26,2,0)</f>
        <v>#N/A</v>
      </c>
      <c r="C33" s="152" t="e">
        <f>VLOOKUP(A33,saisie!B$7:AL$26,3,0)</f>
        <v>#N/A</v>
      </c>
      <c r="D33" s="153" t="e">
        <f>VLOOKUP(A33,saisie!B$7:AL$26,4,0)</f>
        <v>#N/A</v>
      </c>
      <c r="E33" s="154" t="e">
        <f>VLOOKUP(A33,saisie!B$7:AL$26,5,0)</f>
        <v>#N/A</v>
      </c>
      <c r="F33" s="154" t="e">
        <f>VLOOKUP(A33,saisie!B$7:AL$26,6,0)</f>
        <v>#N/A</v>
      </c>
      <c r="G33" s="154" t="e">
        <f>VLOOKUP(A33,saisie!B$7:AL$26,7,0)</f>
        <v>#N/A</v>
      </c>
      <c r="H33" s="155" t="e">
        <f>VLOOKUP(A33,saisie!B$7:AL$26,8,0)</f>
        <v>#N/A</v>
      </c>
      <c r="I33" s="156" t="e">
        <f>VLOOKUP(A33,saisie!B$7:AL$26,9,0)</f>
        <v>#N/A</v>
      </c>
      <c r="J33" s="153" t="e">
        <f>VLOOKUP(A33,saisie!B$7:AL$26,10,0)</f>
        <v>#N/A</v>
      </c>
      <c r="K33" s="154" t="e">
        <f>VLOOKUP(A33,saisie!B$7:AL$26,11,0)</f>
        <v>#N/A</v>
      </c>
      <c r="L33" s="154" t="e">
        <f>VLOOKUP(A33,saisie!B$7:AL$26,12,0)</f>
        <v>#N/A</v>
      </c>
      <c r="M33" s="154" t="e">
        <f>VLOOKUP(A33,saisie!B$7:AL$26,13,0)</f>
        <v>#N/A</v>
      </c>
      <c r="N33" s="155" t="e">
        <f>VLOOKUP(A33,saisie!B$7:AL$26,14,0)</f>
        <v>#N/A</v>
      </c>
      <c r="O33" s="156" t="e">
        <f>VLOOKUP(A33,saisie!B$7:AL$26,15,0)</f>
        <v>#N/A</v>
      </c>
      <c r="P33" s="153" t="e">
        <f>VLOOKUP(A33,saisie!B$7:AL$26,16,0)</f>
        <v>#N/A</v>
      </c>
      <c r="Q33" s="154" t="e">
        <f>VLOOKUP(A33,saisie!B$7:AL$26,17,0)</f>
        <v>#N/A</v>
      </c>
      <c r="R33" s="154" t="e">
        <f>VLOOKUP(A33,saisie!B$7:AL$26,18,0)</f>
        <v>#N/A</v>
      </c>
      <c r="S33" s="154" t="e">
        <f>VLOOKUP(A33,saisie!B$7:AL$26,19,0)</f>
        <v>#N/A</v>
      </c>
      <c r="T33" s="155" t="e">
        <f>VLOOKUP(A33,saisie!B$7:AL$26,20,0)</f>
        <v>#N/A</v>
      </c>
      <c r="U33" s="156" t="e">
        <f>VLOOKUP(A33,saisie!B$7:AL$26,21,0)</f>
        <v>#N/A</v>
      </c>
      <c r="V33" s="153" t="e">
        <f>VLOOKUP(A33,saisie!B$7:AL$26,22,0)</f>
        <v>#N/A</v>
      </c>
      <c r="W33" s="154" t="e">
        <f>VLOOKUP(A33,saisie!B$7:AL$26,23,0)</f>
        <v>#N/A</v>
      </c>
      <c r="X33" s="154" t="e">
        <f>VLOOKUP(A33,saisie!B$7:AL$26,24,0)</f>
        <v>#N/A</v>
      </c>
      <c r="Y33" s="154" t="e">
        <f>VLOOKUP(A33,saisie!B$7:AL$26,25,0)</f>
        <v>#N/A</v>
      </c>
      <c r="Z33" s="155" t="e">
        <f>VLOOKUP(A33,saisie!B$7:AL$26,26,0)</f>
        <v>#N/A</v>
      </c>
      <c r="AA33" s="156" t="e">
        <f>VLOOKUP(A33,saisie!B$7:AL$26,27,0)</f>
        <v>#N/A</v>
      </c>
      <c r="AB33" s="153" t="e">
        <f>VLOOKUP(A33,saisie!B$7:AL$26,28,0)</f>
        <v>#N/A</v>
      </c>
      <c r="AC33" s="154" t="e">
        <f>VLOOKUP(A33,saisie!B$7:AL$26,29,0)</f>
        <v>#N/A</v>
      </c>
      <c r="AD33" s="154" t="e">
        <f>VLOOKUP(A33,saisie!B$7:AL$26,30,0)</f>
        <v>#N/A</v>
      </c>
      <c r="AE33" s="154" t="e">
        <f>VLOOKUP(A33,saisie!B$7:AL$26,31,0)</f>
        <v>#N/A</v>
      </c>
      <c r="AF33" s="155" t="e">
        <f>VLOOKUP(A33,saisie!B$7:AL$26,32,0)</f>
        <v>#N/A</v>
      </c>
      <c r="AG33" s="156" t="e">
        <f>VLOOKUP(A33,saisie!B$7:AL$26,33,0)</f>
        <v>#N/A</v>
      </c>
      <c r="AH33" s="160" t="e">
        <f>VLOOKUP(A33,saisie!B$7:AL$26,34,0)</f>
        <v>#N/A</v>
      </c>
      <c r="AI33" s="157" t="e">
        <f>VLOOKUP(A33,saisie!B$7:AL$26,35,0)</f>
        <v>#N/A</v>
      </c>
      <c r="AJ33" s="158"/>
    </row>
    <row r="34" spans="1:36" ht="109.05" customHeight="1">
      <c r="A34" s="159" t="str">
        <f>IF(INFO!B8&gt;27,28,"")</f>
        <v/>
      </c>
      <c r="B34" s="151" t="e">
        <f>VLOOKUP(A34,saisie!B$7:AL$26,2,0)</f>
        <v>#N/A</v>
      </c>
      <c r="C34" s="152" t="e">
        <f>VLOOKUP(A34,saisie!B$7:AL$26,3,0)</f>
        <v>#N/A</v>
      </c>
      <c r="D34" s="153" t="e">
        <f>VLOOKUP(A34,saisie!B$7:AL$26,4,0)</f>
        <v>#N/A</v>
      </c>
      <c r="E34" s="154" t="e">
        <f>VLOOKUP(A34,saisie!B$7:AL$26,5,0)</f>
        <v>#N/A</v>
      </c>
      <c r="F34" s="154" t="e">
        <f>VLOOKUP(A34,saisie!B$7:AL$26,6,0)</f>
        <v>#N/A</v>
      </c>
      <c r="G34" s="154" t="e">
        <f>VLOOKUP(A34,saisie!B$7:AL$26,7,0)</f>
        <v>#N/A</v>
      </c>
      <c r="H34" s="155" t="e">
        <f>VLOOKUP(A34,saisie!B$7:AL$26,8,0)</f>
        <v>#N/A</v>
      </c>
      <c r="I34" s="156" t="e">
        <f>VLOOKUP(A34,saisie!B$7:AL$26,9,0)</f>
        <v>#N/A</v>
      </c>
      <c r="J34" s="153" t="e">
        <f>VLOOKUP(A34,saisie!B$7:AL$26,10,0)</f>
        <v>#N/A</v>
      </c>
      <c r="K34" s="154" t="e">
        <f>VLOOKUP(A34,saisie!B$7:AL$26,11,0)</f>
        <v>#N/A</v>
      </c>
      <c r="L34" s="154" t="e">
        <f>VLOOKUP(A34,saisie!B$7:AL$26,12,0)</f>
        <v>#N/A</v>
      </c>
      <c r="M34" s="154" t="e">
        <f>VLOOKUP(A34,saisie!B$7:AL$26,13,0)</f>
        <v>#N/A</v>
      </c>
      <c r="N34" s="155" t="e">
        <f>VLOOKUP(A34,saisie!B$7:AL$26,14,0)</f>
        <v>#N/A</v>
      </c>
      <c r="O34" s="156" t="e">
        <f>VLOOKUP(A34,saisie!B$7:AL$26,15,0)</f>
        <v>#N/A</v>
      </c>
      <c r="P34" s="153" t="e">
        <f>VLOOKUP(A34,saisie!B$7:AL$26,16,0)</f>
        <v>#N/A</v>
      </c>
      <c r="Q34" s="154" t="e">
        <f>VLOOKUP(A34,saisie!B$7:AL$26,17,0)</f>
        <v>#N/A</v>
      </c>
      <c r="R34" s="154" t="e">
        <f>VLOOKUP(A34,saisie!B$7:AL$26,18,0)</f>
        <v>#N/A</v>
      </c>
      <c r="S34" s="154" t="e">
        <f>VLOOKUP(A34,saisie!B$7:AL$26,19,0)</f>
        <v>#N/A</v>
      </c>
      <c r="T34" s="155" t="e">
        <f>VLOOKUP(A34,saisie!B$7:AL$26,20,0)</f>
        <v>#N/A</v>
      </c>
      <c r="U34" s="156" t="e">
        <f>VLOOKUP(A34,saisie!B$7:AL$26,21,0)</f>
        <v>#N/A</v>
      </c>
      <c r="V34" s="153" t="e">
        <f>VLOOKUP(A34,saisie!B$7:AL$26,22,0)</f>
        <v>#N/A</v>
      </c>
      <c r="W34" s="154" t="e">
        <f>VLOOKUP(A34,saisie!B$7:AL$26,23,0)</f>
        <v>#N/A</v>
      </c>
      <c r="X34" s="154" t="e">
        <f>VLOOKUP(A34,saisie!B$7:AL$26,24,0)</f>
        <v>#N/A</v>
      </c>
      <c r="Y34" s="154" t="e">
        <f>VLOOKUP(A34,saisie!B$7:AL$26,25,0)</f>
        <v>#N/A</v>
      </c>
      <c r="Z34" s="155" t="e">
        <f>VLOOKUP(A34,saisie!B$7:AL$26,26,0)</f>
        <v>#N/A</v>
      </c>
      <c r="AA34" s="156" t="e">
        <f>VLOOKUP(A34,saisie!B$7:AL$26,27,0)</f>
        <v>#N/A</v>
      </c>
      <c r="AB34" s="153" t="e">
        <f>VLOOKUP(A34,saisie!B$7:AL$26,28,0)</f>
        <v>#N/A</v>
      </c>
      <c r="AC34" s="154" t="e">
        <f>VLOOKUP(A34,saisie!B$7:AL$26,29,0)</f>
        <v>#N/A</v>
      </c>
      <c r="AD34" s="154" t="e">
        <f>VLOOKUP(A34,saisie!B$7:AL$26,30,0)</f>
        <v>#N/A</v>
      </c>
      <c r="AE34" s="154" t="e">
        <f>VLOOKUP(A34,saisie!B$7:AL$26,31,0)</f>
        <v>#N/A</v>
      </c>
      <c r="AF34" s="155" t="e">
        <f>VLOOKUP(A34,saisie!B$7:AL$26,32,0)</f>
        <v>#N/A</v>
      </c>
      <c r="AG34" s="156" t="e">
        <f>VLOOKUP(A34,saisie!B$7:AL$26,33,0)</f>
        <v>#N/A</v>
      </c>
      <c r="AH34" s="160" t="e">
        <f>VLOOKUP(A34,saisie!B$7:AL$26,34,0)</f>
        <v>#N/A</v>
      </c>
      <c r="AI34" s="157" t="e">
        <f>VLOOKUP(A34,saisie!B$7:AL$26,35,0)</f>
        <v>#N/A</v>
      </c>
      <c r="AJ34" s="158"/>
    </row>
    <row r="35" spans="1:36" ht="109.05" customHeight="1">
      <c r="A35" s="159" t="str">
        <f>IF(INFO!B8&gt;28,29,"")</f>
        <v/>
      </c>
      <c r="B35" s="151" t="e">
        <f>VLOOKUP(A35,saisie!B$7:AL$26,2,0)</f>
        <v>#N/A</v>
      </c>
      <c r="C35" s="152" t="e">
        <f>VLOOKUP(A35,saisie!B$7:AL$26,3,0)</f>
        <v>#N/A</v>
      </c>
      <c r="D35" s="153" t="e">
        <f>VLOOKUP(A35,saisie!B$7:AL$26,4,0)</f>
        <v>#N/A</v>
      </c>
      <c r="E35" s="154" t="e">
        <f>VLOOKUP(A35,saisie!B$7:AL$26,5,0)</f>
        <v>#N/A</v>
      </c>
      <c r="F35" s="154" t="e">
        <f>VLOOKUP(A35,saisie!B$7:AL$26,6,0)</f>
        <v>#N/A</v>
      </c>
      <c r="G35" s="154" t="e">
        <f>VLOOKUP(A35,saisie!B$7:AL$26,7,0)</f>
        <v>#N/A</v>
      </c>
      <c r="H35" s="155" t="e">
        <f>VLOOKUP(A35,saisie!B$7:AL$26,8,0)</f>
        <v>#N/A</v>
      </c>
      <c r="I35" s="156" t="e">
        <f>VLOOKUP(A35,saisie!B$7:AL$26,9,0)</f>
        <v>#N/A</v>
      </c>
      <c r="J35" s="153" t="e">
        <f>VLOOKUP(A35,saisie!B$7:AL$26,10,0)</f>
        <v>#N/A</v>
      </c>
      <c r="K35" s="154" t="e">
        <f>VLOOKUP(A35,saisie!B$7:AL$26,11,0)</f>
        <v>#N/A</v>
      </c>
      <c r="L35" s="154" t="e">
        <f>VLOOKUP(A35,saisie!B$7:AL$26,12,0)</f>
        <v>#N/A</v>
      </c>
      <c r="M35" s="154" t="e">
        <f>VLOOKUP(A35,saisie!B$7:AL$26,13,0)</f>
        <v>#N/A</v>
      </c>
      <c r="N35" s="155" t="e">
        <f>VLOOKUP(A35,saisie!B$7:AL$26,14,0)</f>
        <v>#N/A</v>
      </c>
      <c r="O35" s="156" t="e">
        <f>VLOOKUP(A35,saisie!B$7:AL$26,15,0)</f>
        <v>#N/A</v>
      </c>
      <c r="P35" s="153" t="e">
        <f>VLOOKUP(A35,saisie!B$7:AL$26,16,0)</f>
        <v>#N/A</v>
      </c>
      <c r="Q35" s="154" t="e">
        <f>VLOOKUP(A35,saisie!B$7:AL$26,17,0)</f>
        <v>#N/A</v>
      </c>
      <c r="R35" s="154" t="e">
        <f>VLOOKUP(A35,saisie!B$7:AL$26,18,0)</f>
        <v>#N/A</v>
      </c>
      <c r="S35" s="154" t="e">
        <f>VLOOKUP(A35,saisie!B$7:AL$26,19,0)</f>
        <v>#N/A</v>
      </c>
      <c r="T35" s="155" t="e">
        <f>VLOOKUP(A35,saisie!B$7:AL$26,20,0)</f>
        <v>#N/A</v>
      </c>
      <c r="U35" s="156" t="e">
        <f>VLOOKUP(A35,saisie!B$7:AL$26,21,0)</f>
        <v>#N/A</v>
      </c>
      <c r="V35" s="153" t="e">
        <f>VLOOKUP(A35,saisie!B$7:AL$26,22,0)</f>
        <v>#N/A</v>
      </c>
      <c r="W35" s="154" t="e">
        <f>VLOOKUP(A35,saisie!B$7:AL$26,23,0)</f>
        <v>#N/A</v>
      </c>
      <c r="X35" s="154" t="e">
        <f>VLOOKUP(A35,saisie!B$7:AL$26,24,0)</f>
        <v>#N/A</v>
      </c>
      <c r="Y35" s="154" t="e">
        <f>VLOOKUP(A35,saisie!B$7:AL$26,25,0)</f>
        <v>#N/A</v>
      </c>
      <c r="Z35" s="155" t="e">
        <f>VLOOKUP(A35,saisie!B$7:AL$26,26,0)</f>
        <v>#N/A</v>
      </c>
      <c r="AA35" s="156" t="e">
        <f>VLOOKUP(A35,saisie!B$7:AL$26,27,0)</f>
        <v>#N/A</v>
      </c>
      <c r="AB35" s="153" t="e">
        <f>VLOOKUP(A35,saisie!B$7:AL$26,28,0)</f>
        <v>#N/A</v>
      </c>
      <c r="AC35" s="154" t="e">
        <f>VLOOKUP(A35,saisie!B$7:AL$26,29,0)</f>
        <v>#N/A</v>
      </c>
      <c r="AD35" s="154" t="e">
        <f>VLOOKUP(A35,saisie!B$7:AL$26,30,0)</f>
        <v>#N/A</v>
      </c>
      <c r="AE35" s="154" t="e">
        <f>VLOOKUP(A35,saisie!B$7:AL$26,31,0)</f>
        <v>#N/A</v>
      </c>
      <c r="AF35" s="155" t="e">
        <f>VLOOKUP(A35,saisie!B$7:AL$26,32,0)</f>
        <v>#N/A</v>
      </c>
      <c r="AG35" s="156" t="e">
        <f>VLOOKUP(A35,saisie!B$7:AL$26,33,0)</f>
        <v>#N/A</v>
      </c>
      <c r="AH35" s="160" t="e">
        <f>VLOOKUP(A35,saisie!B$7:AL$26,34,0)</f>
        <v>#N/A</v>
      </c>
      <c r="AI35" s="157" t="e">
        <f>VLOOKUP(A35,saisie!B$7:AL$26,35,0)</f>
        <v>#N/A</v>
      </c>
      <c r="AJ35" s="158"/>
    </row>
    <row r="36" spans="1:36" ht="109.05" customHeight="1">
      <c r="A36" s="159" t="str">
        <f>IF(INFO!B8&gt;29,30,"")</f>
        <v/>
      </c>
      <c r="B36" s="151" t="e">
        <f>VLOOKUP(A36,saisie!B$7:AL$26,2,0)</f>
        <v>#N/A</v>
      </c>
      <c r="C36" s="152" t="e">
        <f>VLOOKUP(A36,saisie!B$7:AL$26,3,0)</f>
        <v>#N/A</v>
      </c>
      <c r="D36" s="153" t="e">
        <f>VLOOKUP(A36,saisie!B$7:AL$26,4,0)</f>
        <v>#N/A</v>
      </c>
      <c r="E36" s="154" t="e">
        <f>VLOOKUP(A36,saisie!B$7:AL$26,5,0)</f>
        <v>#N/A</v>
      </c>
      <c r="F36" s="154" t="e">
        <f>VLOOKUP(A36,saisie!B$7:AL$26,6,0)</f>
        <v>#N/A</v>
      </c>
      <c r="G36" s="154" t="e">
        <f>VLOOKUP(A36,saisie!B$7:AL$26,7,0)</f>
        <v>#N/A</v>
      </c>
      <c r="H36" s="155" t="e">
        <f>VLOOKUP(A36,saisie!B$7:AL$26,8,0)</f>
        <v>#N/A</v>
      </c>
      <c r="I36" s="156" t="e">
        <f>VLOOKUP(A36,saisie!B$7:AL$26,9,0)</f>
        <v>#N/A</v>
      </c>
      <c r="J36" s="153" t="e">
        <f>VLOOKUP(A36,saisie!B$7:AL$26,10,0)</f>
        <v>#N/A</v>
      </c>
      <c r="K36" s="154" t="e">
        <f>VLOOKUP(A36,saisie!B$7:AL$26,11,0)</f>
        <v>#N/A</v>
      </c>
      <c r="L36" s="154" t="e">
        <f>VLOOKUP(A36,saisie!B$7:AL$26,12,0)</f>
        <v>#N/A</v>
      </c>
      <c r="M36" s="154" t="e">
        <f>VLOOKUP(A36,saisie!B$7:AL$26,13,0)</f>
        <v>#N/A</v>
      </c>
      <c r="N36" s="155" t="e">
        <f>VLOOKUP(A36,saisie!B$7:AL$26,14,0)</f>
        <v>#N/A</v>
      </c>
      <c r="O36" s="156" t="e">
        <f>VLOOKUP(A36,saisie!B$7:AL$26,15,0)</f>
        <v>#N/A</v>
      </c>
      <c r="P36" s="153" t="e">
        <f>VLOOKUP(A36,saisie!B$7:AL$26,16,0)</f>
        <v>#N/A</v>
      </c>
      <c r="Q36" s="154" t="e">
        <f>VLOOKUP(A36,saisie!B$7:AL$26,17,0)</f>
        <v>#N/A</v>
      </c>
      <c r="R36" s="154" t="e">
        <f>VLOOKUP(A36,saisie!B$7:AL$26,18,0)</f>
        <v>#N/A</v>
      </c>
      <c r="S36" s="154" t="e">
        <f>VLOOKUP(A36,saisie!B$7:AL$26,19,0)</f>
        <v>#N/A</v>
      </c>
      <c r="T36" s="155" t="e">
        <f>VLOOKUP(A36,saisie!B$7:AL$26,20,0)</f>
        <v>#N/A</v>
      </c>
      <c r="U36" s="156" t="e">
        <f>VLOOKUP(A36,saisie!B$7:AL$26,21,0)</f>
        <v>#N/A</v>
      </c>
      <c r="V36" s="153" t="e">
        <f>VLOOKUP(A36,saisie!B$7:AL$26,22,0)</f>
        <v>#N/A</v>
      </c>
      <c r="W36" s="154" t="e">
        <f>VLOOKUP(A36,saisie!B$7:AL$26,23,0)</f>
        <v>#N/A</v>
      </c>
      <c r="X36" s="154" t="e">
        <f>VLOOKUP(A36,saisie!B$7:AL$26,24,0)</f>
        <v>#N/A</v>
      </c>
      <c r="Y36" s="154" t="e">
        <f>VLOOKUP(A36,saisie!B$7:AL$26,25,0)</f>
        <v>#N/A</v>
      </c>
      <c r="Z36" s="155" t="e">
        <f>VLOOKUP(A36,saisie!B$7:AL$26,26,0)</f>
        <v>#N/A</v>
      </c>
      <c r="AA36" s="156" t="e">
        <f>VLOOKUP(A36,saisie!B$7:AL$26,27,0)</f>
        <v>#N/A</v>
      </c>
      <c r="AB36" s="153" t="e">
        <f>VLOOKUP(A36,saisie!B$7:AL$26,28,0)</f>
        <v>#N/A</v>
      </c>
      <c r="AC36" s="154" t="e">
        <f>VLOOKUP(A36,saisie!B$7:AL$26,29,0)</f>
        <v>#N/A</v>
      </c>
      <c r="AD36" s="154" t="e">
        <f>VLOOKUP(A36,saisie!B$7:AL$26,30,0)</f>
        <v>#N/A</v>
      </c>
      <c r="AE36" s="154" t="e">
        <f>VLOOKUP(A36,saisie!B$7:AL$26,31,0)</f>
        <v>#N/A</v>
      </c>
      <c r="AF36" s="155" t="e">
        <f>VLOOKUP(A36,saisie!B$7:AL$26,32,0)</f>
        <v>#N/A</v>
      </c>
      <c r="AG36" s="156" t="e">
        <f>VLOOKUP(A36,saisie!B$7:AL$26,33,0)</f>
        <v>#N/A</v>
      </c>
      <c r="AH36" s="160" t="e">
        <f>VLOOKUP(A36,saisie!B$7:AL$26,34,0)</f>
        <v>#N/A</v>
      </c>
      <c r="AI36" s="157" t="e">
        <f>VLOOKUP(A36,saisie!B$7:AL$26,35,0)</f>
        <v>#N/A</v>
      </c>
      <c r="AJ36" s="158"/>
    </row>
    <row r="37" spans="1:36" ht="109.05" customHeight="1">
      <c r="A37" s="159" t="str">
        <f>IF(INFO!B8&gt;30,31,"")</f>
        <v/>
      </c>
      <c r="B37" s="151" t="e">
        <f>VLOOKUP(A37,saisie!B$7:AL$26,2,0)</f>
        <v>#N/A</v>
      </c>
      <c r="C37" s="152" t="e">
        <f>VLOOKUP(A37,saisie!B$7:AL$26,3,0)</f>
        <v>#N/A</v>
      </c>
      <c r="D37" s="153" t="e">
        <f>VLOOKUP(A37,saisie!B$7:AL$26,4,0)</f>
        <v>#N/A</v>
      </c>
      <c r="E37" s="154" t="e">
        <f>VLOOKUP(A37,saisie!B$7:AL$26,5,0)</f>
        <v>#N/A</v>
      </c>
      <c r="F37" s="154" t="e">
        <f>VLOOKUP(A37,saisie!B$7:AL$26,6,0)</f>
        <v>#N/A</v>
      </c>
      <c r="G37" s="154" t="e">
        <f>VLOOKUP(A37,saisie!B$7:AL$26,7,0)</f>
        <v>#N/A</v>
      </c>
      <c r="H37" s="155" t="e">
        <f>VLOOKUP(A37,saisie!B$7:AL$26,8,0)</f>
        <v>#N/A</v>
      </c>
      <c r="I37" s="156" t="e">
        <f>VLOOKUP(A37,saisie!B$7:AL$26,9,0)</f>
        <v>#N/A</v>
      </c>
      <c r="J37" s="153" t="e">
        <f>VLOOKUP(A37,saisie!B$7:AL$26,10,0)</f>
        <v>#N/A</v>
      </c>
      <c r="K37" s="154" t="e">
        <f>VLOOKUP(A37,saisie!B$7:AL$26,11,0)</f>
        <v>#N/A</v>
      </c>
      <c r="L37" s="154" t="e">
        <f>VLOOKUP(A37,saisie!B$7:AL$26,12,0)</f>
        <v>#N/A</v>
      </c>
      <c r="M37" s="154" t="e">
        <f>VLOOKUP(A37,saisie!B$7:AL$26,13,0)</f>
        <v>#N/A</v>
      </c>
      <c r="N37" s="155" t="e">
        <f>VLOOKUP(A37,saisie!B$7:AL$26,14,0)</f>
        <v>#N/A</v>
      </c>
      <c r="O37" s="156" t="e">
        <f>VLOOKUP(A37,saisie!B$7:AL$26,15,0)</f>
        <v>#N/A</v>
      </c>
      <c r="P37" s="153" t="e">
        <f>VLOOKUP(A37,saisie!B$7:AL$26,16,0)</f>
        <v>#N/A</v>
      </c>
      <c r="Q37" s="154" t="e">
        <f>VLOOKUP(A37,saisie!B$7:AL$26,17,0)</f>
        <v>#N/A</v>
      </c>
      <c r="R37" s="154" t="e">
        <f>VLOOKUP(A37,saisie!B$7:AL$26,18,0)</f>
        <v>#N/A</v>
      </c>
      <c r="S37" s="154" t="e">
        <f>VLOOKUP(A37,saisie!B$7:AL$26,19,0)</f>
        <v>#N/A</v>
      </c>
      <c r="T37" s="155" t="e">
        <f>VLOOKUP(A37,saisie!B$7:AL$26,20,0)</f>
        <v>#N/A</v>
      </c>
      <c r="U37" s="156" t="e">
        <f>VLOOKUP(A37,saisie!B$7:AL$26,21,0)</f>
        <v>#N/A</v>
      </c>
      <c r="V37" s="153" t="e">
        <f>VLOOKUP(A37,saisie!B$7:AL$26,22,0)</f>
        <v>#N/A</v>
      </c>
      <c r="W37" s="154" t="e">
        <f>VLOOKUP(A37,saisie!B$7:AL$26,23,0)</f>
        <v>#N/A</v>
      </c>
      <c r="X37" s="154" t="e">
        <f>VLOOKUP(A37,saisie!B$7:AL$26,24,0)</f>
        <v>#N/A</v>
      </c>
      <c r="Y37" s="154" t="e">
        <f>VLOOKUP(A37,saisie!B$7:AL$26,25,0)</f>
        <v>#N/A</v>
      </c>
      <c r="Z37" s="155" t="e">
        <f>VLOOKUP(A37,saisie!B$7:AL$26,26,0)</f>
        <v>#N/A</v>
      </c>
      <c r="AA37" s="156" t="e">
        <f>VLOOKUP(A37,saisie!B$7:AL$26,27,0)</f>
        <v>#N/A</v>
      </c>
      <c r="AB37" s="153" t="e">
        <f>VLOOKUP(A37,saisie!B$7:AL$26,28,0)</f>
        <v>#N/A</v>
      </c>
      <c r="AC37" s="154" t="e">
        <f>VLOOKUP(A37,saisie!B$7:AL$26,29,0)</f>
        <v>#N/A</v>
      </c>
      <c r="AD37" s="154" t="e">
        <f>VLOOKUP(A37,saisie!B$7:AL$26,30,0)</f>
        <v>#N/A</v>
      </c>
      <c r="AE37" s="154" t="e">
        <f>VLOOKUP(A37,saisie!B$7:AL$26,31,0)</f>
        <v>#N/A</v>
      </c>
      <c r="AF37" s="155" t="e">
        <f>VLOOKUP(A37,saisie!B$7:AL$26,32,0)</f>
        <v>#N/A</v>
      </c>
      <c r="AG37" s="156" t="e">
        <f>VLOOKUP(A37,saisie!B$7:AL$26,33,0)</f>
        <v>#N/A</v>
      </c>
      <c r="AH37" s="160" t="e">
        <f>VLOOKUP(A37,saisie!B$7:AL$26,34,0)</f>
        <v>#N/A</v>
      </c>
      <c r="AI37" s="157" t="e">
        <f>VLOOKUP(A37,saisie!B$7:AL$26,35,0)</f>
        <v>#N/A</v>
      </c>
      <c r="AJ37" s="158"/>
    </row>
    <row r="38" spans="1:36" ht="109.05" customHeight="1">
      <c r="A38" s="159" t="str">
        <f>IF(INFO!B8&gt;31,32,"")</f>
        <v/>
      </c>
      <c r="B38" s="151" t="e">
        <f>VLOOKUP(A38,saisie!B$7:AL$26,2,0)</f>
        <v>#N/A</v>
      </c>
      <c r="C38" s="152" t="e">
        <f>VLOOKUP(A38,saisie!B$7:AL$26,3,0)</f>
        <v>#N/A</v>
      </c>
      <c r="D38" s="153" t="e">
        <f>VLOOKUP(A38,saisie!B$7:AL$26,4,0)</f>
        <v>#N/A</v>
      </c>
      <c r="E38" s="154" t="e">
        <f>VLOOKUP(A38,saisie!B$7:AL$26,5,0)</f>
        <v>#N/A</v>
      </c>
      <c r="F38" s="154" t="e">
        <f>VLOOKUP(A38,saisie!B$7:AL$26,6,0)</f>
        <v>#N/A</v>
      </c>
      <c r="G38" s="154" t="e">
        <f>VLOOKUP(A38,saisie!B$7:AL$26,7,0)</f>
        <v>#N/A</v>
      </c>
      <c r="H38" s="155" t="e">
        <f>VLOOKUP(A38,saisie!B$7:AL$26,8,0)</f>
        <v>#N/A</v>
      </c>
      <c r="I38" s="156" t="e">
        <f>VLOOKUP(A38,saisie!B$7:AL$26,9,0)</f>
        <v>#N/A</v>
      </c>
      <c r="J38" s="153" t="e">
        <f>VLOOKUP(A38,saisie!B$7:AL$26,10,0)</f>
        <v>#N/A</v>
      </c>
      <c r="K38" s="154" t="e">
        <f>VLOOKUP(A38,saisie!B$7:AL$26,11,0)</f>
        <v>#N/A</v>
      </c>
      <c r="L38" s="154" t="e">
        <f>VLOOKUP(A38,saisie!B$7:AL$26,12,0)</f>
        <v>#N/A</v>
      </c>
      <c r="M38" s="154" t="e">
        <f>VLOOKUP(A38,saisie!B$7:AL$26,13,0)</f>
        <v>#N/A</v>
      </c>
      <c r="N38" s="155" t="e">
        <f>VLOOKUP(A38,saisie!B$7:AL$26,14,0)</f>
        <v>#N/A</v>
      </c>
      <c r="O38" s="156" t="e">
        <f>VLOOKUP(A38,saisie!B$7:AL$26,15,0)</f>
        <v>#N/A</v>
      </c>
      <c r="P38" s="153" t="e">
        <f>VLOOKUP(A38,saisie!B$7:AL$26,16,0)</f>
        <v>#N/A</v>
      </c>
      <c r="Q38" s="154" t="e">
        <f>VLOOKUP(A38,saisie!B$7:AL$26,17,0)</f>
        <v>#N/A</v>
      </c>
      <c r="R38" s="154" t="e">
        <f>VLOOKUP(A38,saisie!B$7:AL$26,18,0)</f>
        <v>#N/A</v>
      </c>
      <c r="S38" s="154" t="e">
        <f>VLOOKUP(A38,saisie!B$7:AL$26,19,0)</f>
        <v>#N/A</v>
      </c>
      <c r="T38" s="155" t="e">
        <f>VLOOKUP(A38,saisie!B$7:AL$26,20,0)</f>
        <v>#N/A</v>
      </c>
      <c r="U38" s="156" t="e">
        <f>VLOOKUP(A38,saisie!B$7:AL$26,21,0)</f>
        <v>#N/A</v>
      </c>
      <c r="V38" s="153" t="e">
        <f>VLOOKUP(A38,saisie!B$7:AL$26,22,0)</f>
        <v>#N/A</v>
      </c>
      <c r="W38" s="154" t="e">
        <f>VLOOKUP(A38,saisie!B$7:AL$26,23,0)</f>
        <v>#N/A</v>
      </c>
      <c r="X38" s="154" t="e">
        <f>VLOOKUP(A38,saisie!B$7:AL$26,24,0)</f>
        <v>#N/A</v>
      </c>
      <c r="Y38" s="154" t="e">
        <f>VLOOKUP(A38,saisie!B$7:AL$26,25,0)</f>
        <v>#N/A</v>
      </c>
      <c r="Z38" s="155" t="e">
        <f>VLOOKUP(A38,saisie!B$7:AL$26,26,0)</f>
        <v>#N/A</v>
      </c>
      <c r="AA38" s="156" t="e">
        <f>VLOOKUP(A38,saisie!B$7:AL$26,27,0)</f>
        <v>#N/A</v>
      </c>
      <c r="AB38" s="153" t="e">
        <f>VLOOKUP(A38,saisie!B$7:AL$26,28,0)</f>
        <v>#N/A</v>
      </c>
      <c r="AC38" s="154" t="e">
        <f>VLOOKUP(A38,saisie!B$7:AL$26,29,0)</f>
        <v>#N/A</v>
      </c>
      <c r="AD38" s="154" t="e">
        <f>VLOOKUP(A38,saisie!B$7:AL$26,30,0)</f>
        <v>#N/A</v>
      </c>
      <c r="AE38" s="154" t="e">
        <f>VLOOKUP(A38,saisie!B$7:AL$26,31,0)</f>
        <v>#N/A</v>
      </c>
      <c r="AF38" s="155" t="e">
        <f>VLOOKUP(A38,saisie!B$7:AL$26,32,0)</f>
        <v>#N/A</v>
      </c>
      <c r="AG38" s="156" t="e">
        <f>VLOOKUP(A38,saisie!B$7:AL$26,33,0)</f>
        <v>#N/A</v>
      </c>
      <c r="AH38" s="160" t="e">
        <f>VLOOKUP(A38,saisie!B$7:AL$26,34,0)</f>
        <v>#N/A</v>
      </c>
      <c r="AI38" s="157" t="e">
        <f>VLOOKUP(A38,saisie!B$7:AL$26,35,0)</f>
        <v>#N/A</v>
      </c>
      <c r="AJ38" s="158"/>
    </row>
    <row r="39" spans="1:36" ht="109.05" customHeight="1">
      <c r="A39" s="159" t="str">
        <f>IF(INFO!B8&gt;32,33,"")</f>
        <v/>
      </c>
      <c r="B39" s="151" t="e">
        <f>VLOOKUP(A39,saisie!B$7:AL$26,2,0)</f>
        <v>#N/A</v>
      </c>
      <c r="C39" s="152" t="e">
        <f>VLOOKUP(A39,saisie!B$7:AL$26,3,0)</f>
        <v>#N/A</v>
      </c>
      <c r="D39" s="153" t="e">
        <f>VLOOKUP(A39,saisie!B$7:AL$26,4,0)</f>
        <v>#N/A</v>
      </c>
      <c r="E39" s="154" t="e">
        <f>VLOOKUP(A39,saisie!B$7:AL$26,5,0)</f>
        <v>#N/A</v>
      </c>
      <c r="F39" s="154" t="e">
        <f>VLOOKUP(A39,saisie!B$7:AL$26,6,0)</f>
        <v>#N/A</v>
      </c>
      <c r="G39" s="154" t="e">
        <f>VLOOKUP(A39,saisie!B$7:AL$26,7,0)</f>
        <v>#N/A</v>
      </c>
      <c r="H39" s="155" t="e">
        <f>VLOOKUP(A39,saisie!B$7:AL$26,8,0)</f>
        <v>#N/A</v>
      </c>
      <c r="I39" s="156" t="e">
        <f>VLOOKUP(A39,saisie!B$7:AL$26,9,0)</f>
        <v>#N/A</v>
      </c>
      <c r="J39" s="153" t="e">
        <f>VLOOKUP(A39,saisie!B$7:AL$26,10,0)</f>
        <v>#N/A</v>
      </c>
      <c r="K39" s="154" t="e">
        <f>VLOOKUP(A39,saisie!B$7:AL$26,11,0)</f>
        <v>#N/A</v>
      </c>
      <c r="L39" s="154" t="e">
        <f>VLOOKUP(A39,saisie!B$7:AL$26,12,0)</f>
        <v>#N/A</v>
      </c>
      <c r="M39" s="154" t="e">
        <f>VLOOKUP(A39,saisie!B$7:AL$26,13,0)</f>
        <v>#N/A</v>
      </c>
      <c r="N39" s="155" t="e">
        <f>VLOOKUP(A39,saisie!B$7:AL$26,14,0)</f>
        <v>#N/A</v>
      </c>
      <c r="O39" s="156" t="e">
        <f>VLOOKUP(A39,saisie!B$7:AL$26,15,0)</f>
        <v>#N/A</v>
      </c>
      <c r="P39" s="153" t="e">
        <f>VLOOKUP(A39,saisie!B$7:AL$26,16,0)</f>
        <v>#N/A</v>
      </c>
      <c r="Q39" s="154" t="e">
        <f>VLOOKUP(A39,saisie!B$7:AL$26,17,0)</f>
        <v>#N/A</v>
      </c>
      <c r="R39" s="154" t="e">
        <f>VLOOKUP(A39,saisie!B$7:AL$26,18,0)</f>
        <v>#N/A</v>
      </c>
      <c r="S39" s="154" t="e">
        <f>VLOOKUP(A39,saisie!B$7:AL$26,19,0)</f>
        <v>#N/A</v>
      </c>
      <c r="T39" s="155" t="e">
        <f>VLOOKUP(A39,saisie!B$7:AL$26,20,0)</f>
        <v>#N/A</v>
      </c>
      <c r="U39" s="156" t="e">
        <f>VLOOKUP(A39,saisie!B$7:AL$26,21,0)</f>
        <v>#N/A</v>
      </c>
      <c r="V39" s="153" t="e">
        <f>VLOOKUP(A39,saisie!B$7:AL$26,22,0)</f>
        <v>#N/A</v>
      </c>
      <c r="W39" s="154" t="e">
        <f>VLOOKUP(A39,saisie!B$7:AL$26,23,0)</f>
        <v>#N/A</v>
      </c>
      <c r="X39" s="154" t="e">
        <f>VLOOKUP(A39,saisie!B$7:AL$26,24,0)</f>
        <v>#N/A</v>
      </c>
      <c r="Y39" s="154" t="e">
        <f>VLOOKUP(A39,saisie!B$7:AL$26,25,0)</f>
        <v>#N/A</v>
      </c>
      <c r="Z39" s="155" t="e">
        <f>VLOOKUP(A39,saisie!B$7:AL$26,26,0)</f>
        <v>#N/A</v>
      </c>
      <c r="AA39" s="156" t="e">
        <f>VLOOKUP(A39,saisie!B$7:AL$26,27,0)</f>
        <v>#N/A</v>
      </c>
      <c r="AB39" s="153" t="e">
        <f>VLOOKUP(A39,saisie!B$7:AL$26,28,0)</f>
        <v>#N/A</v>
      </c>
      <c r="AC39" s="154" t="e">
        <f>VLOOKUP(A39,saisie!B$7:AL$26,29,0)</f>
        <v>#N/A</v>
      </c>
      <c r="AD39" s="154" t="e">
        <f>VLOOKUP(A39,saisie!B$7:AL$26,30,0)</f>
        <v>#N/A</v>
      </c>
      <c r="AE39" s="154" t="e">
        <f>VLOOKUP(A39,saisie!B$7:AL$26,31,0)</f>
        <v>#N/A</v>
      </c>
      <c r="AF39" s="155" t="e">
        <f>VLOOKUP(A39,saisie!B$7:AL$26,32,0)</f>
        <v>#N/A</v>
      </c>
      <c r="AG39" s="156" t="e">
        <f>VLOOKUP(A39,saisie!B$7:AL$26,33,0)</f>
        <v>#N/A</v>
      </c>
      <c r="AH39" s="160" t="e">
        <f>VLOOKUP(A39,saisie!B$7:AL$26,34,0)</f>
        <v>#N/A</v>
      </c>
      <c r="AI39" s="157" t="e">
        <f>VLOOKUP(A39,saisie!B$7:AL$26,35,0)</f>
        <v>#N/A</v>
      </c>
      <c r="AJ39" s="158"/>
    </row>
    <row r="40" spans="1:36" ht="109.05" customHeight="1">
      <c r="A40" s="159" t="str">
        <f>IF(INFO!B8&gt;33,34,"")</f>
        <v/>
      </c>
      <c r="B40" s="151" t="e">
        <f>VLOOKUP(A40,saisie!B$7:AL$26,2,0)</f>
        <v>#N/A</v>
      </c>
      <c r="C40" s="152" t="e">
        <f>VLOOKUP(A40,saisie!B$7:AL$26,3,0)</f>
        <v>#N/A</v>
      </c>
      <c r="D40" s="153" t="e">
        <f>VLOOKUP(A40,saisie!B$7:AL$26,4,0)</f>
        <v>#N/A</v>
      </c>
      <c r="E40" s="154" t="e">
        <f>VLOOKUP(A40,saisie!B$7:AL$26,5,0)</f>
        <v>#N/A</v>
      </c>
      <c r="F40" s="154" t="e">
        <f>VLOOKUP(A40,saisie!B$7:AL$26,6,0)</f>
        <v>#N/A</v>
      </c>
      <c r="G40" s="154" t="e">
        <f>VLOOKUP(A40,saisie!B$7:AL$26,7,0)</f>
        <v>#N/A</v>
      </c>
      <c r="H40" s="155" t="e">
        <f>VLOOKUP(A40,saisie!B$7:AL$26,8,0)</f>
        <v>#N/A</v>
      </c>
      <c r="I40" s="156" t="e">
        <f>VLOOKUP(A40,saisie!B$7:AL$26,9,0)</f>
        <v>#N/A</v>
      </c>
      <c r="J40" s="153" t="e">
        <f>VLOOKUP(A40,saisie!B$7:AL$26,10,0)</f>
        <v>#N/A</v>
      </c>
      <c r="K40" s="154" t="e">
        <f>VLOOKUP(A40,saisie!B$7:AL$26,11,0)</f>
        <v>#N/A</v>
      </c>
      <c r="L40" s="154" t="e">
        <f>VLOOKUP(A40,saisie!B$7:AL$26,12,0)</f>
        <v>#N/A</v>
      </c>
      <c r="M40" s="154" t="e">
        <f>VLOOKUP(A40,saisie!B$7:AL$26,13,0)</f>
        <v>#N/A</v>
      </c>
      <c r="N40" s="155" t="e">
        <f>VLOOKUP(A40,saisie!B$7:AL$26,14,0)</f>
        <v>#N/A</v>
      </c>
      <c r="O40" s="156" t="e">
        <f>VLOOKUP(A40,saisie!B$7:AL$26,15,0)</f>
        <v>#N/A</v>
      </c>
      <c r="P40" s="153" t="e">
        <f>VLOOKUP(A40,saisie!B$7:AL$26,16,0)</f>
        <v>#N/A</v>
      </c>
      <c r="Q40" s="154" t="e">
        <f>VLOOKUP(A40,saisie!B$7:AL$26,17,0)</f>
        <v>#N/A</v>
      </c>
      <c r="R40" s="154" t="e">
        <f>VLOOKUP(A40,saisie!B$7:AL$26,18,0)</f>
        <v>#N/A</v>
      </c>
      <c r="S40" s="154" t="e">
        <f>VLOOKUP(A40,saisie!B$7:AL$26,19,0)</f>
        <v>#N/A</v>
      </c>
      <c r="T40" s="155" t="e">
        <f>VLOOKUP(A40,saisie!B$7:AL$26,20,0)</f>
        <v>#N/A</v>
      </c>
      <c r="U40" s="156" t="e">
        <f>VLOOKUP(A40,saisie!B$7:AL$26,21,0)</f>
        <v>#N/A</v>
      </c>
      <c r="V40" s="153" t="e">
        <f>VLOOKUP(A40,saisie!B$7:AL$26,22,0)</f>
        <v>#N/A</v>
      </c>
      <c r="W40" s="154" t="e">
        <f>VLOOKUP(A40,saisie!B$7:AL$26,23,0)</f>
        <v>#N/A</v>
      </c>
      <c r="X40" s="154" t="e">
        <f>VLOOKUP(A40,saisie!B$7:AL$26,24,0)</f>
        <v>#N/A</v>
      </c>
      <c r="Y40" s="154" t="e">
        <f>VLOOKUP(A40,saisie!B$7:AL$26,25,0)</f>
        <v>#N/A</v>
      </c>
      <c r="Z40" s="155" t="e">
        <f>VLOOKUP(A40,saisie!B$7:AL$26,26,0)</f>
        <v>#N/A</v>
      </c>
      <c r="AA40" s="156" t="e">
        <f>VLOOKUP(A40,saisie!B$7:AL$26,27,0)</f>
        <v>#N/A</v>
      </c>
      <c r="AB40" s="153" t="e">
        <f>VLOOKUP(A40,saisie!B$7:AL$26,28,0)</f>
        <v>#N/A</v>
      </c>
      <c r="AC40" s="154" t="e">
        <f>VLOOKUP(A40,saisie!B$7:AL$26,29,0)</f>
        <v>#N/A</v>
      </c>
      <c r="AD40" s="154" t="e">
        <f>VLOOKUP(A40,saisie!B$7:AL$26,30,0)</f>
        <v>#N/A</v>
      </c>
      <c r="AE40" s="154" t="e">
        <f>VLOOKUP(A40,saisie!B$7:AL$26,31,0)</f>
        <v>#N/A</v>
      </c>
      <c r="AF40" s="155" t="e">
        <f>VLOOKUP(A40,saisie!B$7:AL$26,32,0)</f>
        <v>#N/A</v>
      </c>
      <c r="AG40" s="156" t="e">
        <f>VLOOKUP(A40,saisie!B$7:AL$26,33,0)</f>
        <v>#N/A</v>
      </c>
      <c r="AH40" s="160" t="e">
        <f>VLOOKUP(A40,saisie!B$7:AL$26,34,0)</f>
        <v>#N/A</v>
      </c>
      <c r="AI40" s="157" t="e">
        <f>VLOOKUP(A40,saisie!B$7:AL$26,35,0)</f>
        <v>#N/A</v>
      </c>
      <c r="AJ40" s="158"/>
    </row>
    <row r="41" spans="1:36" ht="109.05" customHeight="1">
      <c r="A41" s="159" t="str">
        <f>IF(INFO!B8&gt;34,35,"")</f>
        <v/>
      </c>
      <c r="B41" s="151" t="e">
        <f>VLOOKUP(A41,saisie!B$7:AL$26,2,0)</f>
        <v>#N/A</v>
      </c>
      <c r="C41" s="152" t="e">
        <f>VLOOKUP(A41,saisie!B$7:AL$26,3,0)</f>
        <v>#N/A</v>
      </c>
      <c r="D41" s="153" t="e">
        <f>VLOOKUP(A41,saisie!B$7:AL$26,4,0)</f>
        <v>#N/A</v>
      </c>
      <c r="E41" s="154" t="e">
        <f>VLOOKUP(A41,saisie!B$7:AL$26,5,0)</f>
        <v>#N/A</v>
      </c>
      <c r="F41" s="154" t="e">
        <f>VLOOKUP(A41,saisie!B$7:AL$26,6,0)</f>
        <v>#N/A</v>
      </c>
      <c r="G41" s="154" t="e">
        <f>VLOOKUP(A41,saisie!B$7:AL$26,7,0)</f>
        <v>#N/A</v>
      </c>
      <c r="H41" s="155" t="e">
        <f>VLOOKUP(A41,saisie!B$7:AL$26,8,0)</f>
        <v>#N/A</v>
      </c>
      <c r="I41" s="156" t="e">
        <f>VLOOKUP(A41,saisie!B$7:AL$26,9,0)</f>
        <v>#N/A</v>
      </c>
      <c r="J41" s="153" t="e">
        <f>VLOOKUP(A41,saisie!B$7:AL$26,10,0)</f>
        <v>#N/A</v>
      </c>
      <c r="K41" s="154" t="e">
        <f>VLOOKUP(A41,saisie!B$7:AL$26,11,0)</f>
        <v>#N/A</v>
      </c>
      <c r="L41" s="154" t="e">
        <f>VLOOKUP(A41,saisie!B$7:AL$26,12,0)</f>
        <v>#N/A</v>
      </c>
      <c r="M41" s="154" t="e">
        <f>VLOOKUP(A41,saisie!B$7:AL$26,13,0)</f>
        <v>#N/A</v>
      </c>
      <c r="N41" s="155" t="e">
        <f>VLOOKUP(A41,saisie!B$7:AL$26,14,0)</f>
        <v>#N/A</v>
      </c>
      <c r="O41" s="156" t="e">
        <f>VLOOKUP(A41,saisie!B$7:AL$26,15,0)</f>
        <v>#N/A</v>
      </c>
      <c r="P41" s="153" t="e">
        <f>VLOOKUP(A41,saisie!B$7:AL$26,16,0)</f>
        <v>#N/A</v>
      </c>
      <c r="Q41" s="154" t="e">
        <f>VLOOKUP(A41,saisie!B$7:AL$26,17,0)</f>
        <v>#N/A</v>
      </c>
      <c r="R41" s="154" t="e">
        <f>VLOOKUP(A41,saisie!B$7:AL$26,18,0)</f>
        <v>#N/A</v>
      </c>
      <c r="S41" s="154" t="e">
        <f>VLOOKUP(A41,saisie!B$7:AL$26,19,0)</f>
        <v>#N/A</v>
      </c>
      <c r="T41" s="155" t="e">
        <f>VLOOKUP(A41,saisie!B$7:AL$26,20,0)</f>
        <v>#N/A</v>
      </c>
      <c r="U41" s="156" t="e">
        <f>VLOOKUP(A41,saisie!B$7:AL$26,21,0)</f>
        <v>#N/A</v>
      </c>
      <c r="V41" s="153" t="e">
        <f>VLOOKUP(A41,saisie!B$7:AL$26,22,0)</f>
        <v>#N/A</v>
      </c>
      <c r="W41" s="154" t="e">
        <f>VLOOKUP(A41,saisie!B$7:AL$26,23,0)</f>
        <v>#N/A</v>
      </c>
      <c r="X41" s="154" t="e">
        <f>VLOOKUP(A41,saisie!B$7:AL$26,24,0)</f>
        <v>#N/A</v>
      </c>
      <c r="Y41" s="154" t="e">
        <f>VLOOKUP(A41,saisie!B$7:AL$26,25,0)</f>
        <v>#N/A</v>
      </c>
      <c r="Z41" s="155" t="e">
        <f>VLOOKUP(A41,saisie!B$7:AL$26,26,0)</f>
        <v>#N/A</v>
      </c>
      <c r="AA41" s="156" t="e">
        <f>VLOOKUP(A41,saisie!B$7:AL$26,27,0)</f>
        <v>#N/A</v>
      </c>
      <c r="AB41" s="153" t="e">
        <f>VLOOKUP(A41,saisie!B$7:AL$26,28,0)</f>
        <v>#N/A</v>
      </c>
      <c r="AC41" s="154" t="e">
        <f>VLOOKUP(A41,saisie!B$7:AL$26,29,0)</f>
        <v>#N/A</v>
      </c>
      <c r="AD41" s="154" t="e">
        <f>VLOOKUP(A41,saisie!B$7:AL$26,30,0)</f>
        <v>#N/A</v>
      </c>
      <c r="AE41" s="154" t="e">
        <f>VLOOKUP(A41,saisie!B$7:AL$26,31,0)</f>
        <v>#N/A</v>
      </c>
      <c r="AF41" s="155" t="e">
        <f>VLOOKUP(A41,saisie!B$7:AL$26,32,0)</f>
        <v>#N/A</v>
      </c>
      <c r="AG41" s="156" t="e">
        <f>VLOOKUP(A41,saisie!B$7:AL$26,33,0)</f>
        <v>#N/A</v>
      </c>
      <c r="AH41" s="160" t="e">
        <f>VLOOKUP(A41,saisie!B$7:AL$26,34,0)</f>
        <v>#N/A</v>
      </c>
      <c r="AI41" s="157" t="e">
        <f>VLOOKUP(A41,saisie!B$7:AL$26,35,0)</f>
        <v>#N/A</v>
      </c>
      <c r="AJ41" s="158"/>
    </row>
    <row r="42" spans="1:36" ht="109.05" customHeight="1">
      <c r="A42" s="159" t="str">
        <f>IF(INFO!B8&gt;35,36,"")</f>
        <v/>
      </c>
      <c r="B42" s="151" t="e">
        <f>VLOOKUP(A42,saisie!B$7:AL$26,2,0)</f>
        <v>#N/A</v>
      </c>
      <c r="C42" s="152" t="e">
        <f>VLOOKUP(A42,saisie!B$7:AL$26,3,0)</f>
        <v>#N/A</v>
      </c>
      <c r="D42" s="153" t="e">
        <f>VLOOKUP(A42,saisie!B$7:AL$26,4,0)</f>
        <v>#N/A</v>
      </c>
      <c r="E42" s="154" t="e">
        <f>VLOOKUP(A42,saisie!B$7:AL$26,5,0)</f>
        <v>#N/A</v>
      </c>
      <c r="F42" s="154" t="e">
        <f>VLOOKUP(A42,saisie!B$7:AL$26,6,0)</f>
        <v>#N/A</v>
      </c>
      <c r="G42" s="154" t="e">
        <f>VLOOKUP(A42,saisie!B$7:AL$26,7,0)</f>
        <v>#N/A</v>
      </c>
      <c r="H42" s="155" t="e">
        <f>VLOOKUP(A42,saisie!B$7:AL$26,8,0)</f>
        <v>#N/A</v>
      </c>
      <c r="I42" s="156" t="e">
        <f>VLOOKUP(A42,saisie!B$7:AL$26,9,0)</f>
        <v>#N/A</v>
      </c>
      <c r="J42" s="153" t="e">
        <f>VLOOKUP(A42,saisie!B$7:AL$26,10,0)</f>
        <v>#N/A</v>
      </c>
      <c r="K42" s="154" t="e">
        <f>VLOOKUP(A42,saisie!B$7:AL$26,11,0)</f>
        <v>#N/A</v>
      </c>
      <c r="L42" s="154" t="e">
        <f>VLOOKUP(A42,saisie!B$7:AL$26,12,0)</f>
        <v>#N/A</v>
      </c>
      <c r="M42" s="154" t="e">
        <f>VLOOKUP(A42,saisie!B$7:AL$26,13,0)</f>
        <v>#N/A</v>
      </c>
      <c r="N42" s="155" t="e">
        <f>VLOOKUP(A42,saisie!B$7:AL$26,14,0)</f>
        <v>#N/A</v>
      </c>
      <c r="O42" s="156" t="e">
        <f>VLOOKUP(A42,saisie!B$7:AL$26,15,0)</f>
        <v>#N/A</v>
      </c>
      <c r="P42" s="153" t="e">
        <f>VLOOKUP(A42,saisie!B$7:AL$26,16,0)</f>
        <v>#N/A</v>
      </c>
      <c r="Q42" s="154" t="e">
        <f>VLOOKUP(A42,saisie!B$7:AL$26,17,0)</f>
        <v>#N/A</v>
      </c>
      <c r="R42" s="154" t="e">
        <f>VLOOKUP(A42,saisie!B$7:AL$26,18,0)</f>
        <v>#N/A</v>
      </c>
      <c r="S42" s="154" t="e">
        <f>VLOOKUP(A42,saisie!B$7:AL$26,19,0)</f>
        <v>#N/A</v>
      </c>
      <c r="T42" s="155" t="e">
        <f>VLOOKUP(A42,saisie!B$7:AL$26,20,0)</f>
        <v>#N/A</v>
      </c>
      <c r="U42" s="156" t="e">
        <f>VLOOKUP(A42,saisie!B$7:AL$26,21,0)</f>
        <v>#N/A</v>
      </c>
      <c r="V42" s="153" t="e">
        <f>VLOOKUP(A42,saisie!B$7:AL$26,22,0)</f>
        <v>#N/A</v>
      </c>
      <c r="W42" s="154" t="e">
        <f>VLOOKUP(A42,saisie!B$7:AL$26,23,0)</f>
        <v>#N/A</v>
      </c>
      <c r="X42" s="154" t="e">
        <f>VLOOKUP(A42,saisie!B$7:AL$26,24,0)</f>
        <v>#N/A</v>
      </c>
      <c r="Y42" s="154" t="e">
        <f>VLOOKUP(A42,saisie!B$7:AL$26,25,0)</f>
        <v>#N/A</v>
      </c>
      <c r="Z42" s="155" t="e">
        <f>VLOOKUP(A42,saisie!B$7:AL$26,26,0)</f>
        <v>#N/A</v>
      </c>
      <c r="AA42" s="156" t="e">
        <f>VLOOKUP(A42,saisie!B$7:AL$26,27,0)</f>
        <v>#N/A</v>
      </c>
      <c r="AB42" s="153" t="e">
        <f>VLOOKUP(A42,saisie!B$7:AL$26,28,0)</f>
        <v>#N/A</v>
      </c>
      <c r="AC42" s="154" t="e">
        <f>VLOOKUP(A42,saisie!B$7:AL$26,29,0)</f>
        <v>#N/A</v>
      </c>
      <c r="AD42" s="154" t="e">
        <f>VLOOKUP(A42,saisie!B$7:AL$26,30,0)</f>
        <v>#N/A</v>
      </c>
      <c r="AE42" s="154" t="e">
        <f>VLOOKUP(A42,saisie!B$7:AL$26,31,0)</f>
        <v>#N/A</v>
      </c>
      <c r="AF42" s="155" t="e">
        <f>VLOOKUP(A42,saisie!B$7:AL$26,32,0)</f>
        <v>#N/A</v>
      </c>
      <c r="AG42" s="156" t="e">
        <f>VLOOKUP(A42,saisie!B$7:AL$26,33,0)</f>
        <v>#N/A</v>
      </c>
      <c r="AH42" s="160" t="e">
        <f>VLOOKUP(A42,saisie!B$7:AL$26,34,0)</f>
        <v>#N/A</v>
      </c>
      <c r="AI42" s="157" t="e">
        <f>VLOOKUP(A42,saisie!B$7:AL$26,35,0)</f>
        <v>#N/A</v>
      </c>
      <c r="AJ42" s="158"/>
    </row>
    <row r="43" spans="1:36" ht="109.05" customHeight="1">
      <c r="A43" s="159" t="str">
        <f>IF(INFO!B8&gt;36,37,"")</f>
        <v/>
      </c>
      <c r="B43" s="151" t="e">
        <f>VLOOKUP(A43,saisie!B$7:AL$26,2,0)</f>
        <v>#N/A</v>
      </c>
      <c r="C43" s="152" t="e">
        <f>VLOOKUP(A43,saisie!B$7:AL$26,3,0)</f>
        <v>#N/A</v>
      </c>
      <c r="D43" s="153" t="e">
        <f>VLOOKUP(A43,saisie!B$7:AL$26,4,0)</f>
        <v>#N/A</v>
      </c>
      <c r="E43" s="154" t="e">
        <f>VLOOKUP(A43,saisie!B$7:AL$26,5,0)</f>
        <v>#N/A</v>
      </c>
      <c r="F43" s="154" t="e">
        <f>VLOOKUP(A43,saisie!B$7:AL$26,6,0)</f>
        <v>#N/A</v>
      </c>
      <c r="G43" s="154" t="e">
        <f>VLOOKUP(A43,saisie!B$7:AL$26,7,0)</f>
        <v>#N/A</v>
      </c>
      <c r="H43" s="155" t="e">
        <f>VLOOKUP(A43,saisie!B$7:AL$26,8,0)</f>
        <v>#N/A</v>
      </c>
      <c r="I43" s="156" t="e">
        <f>VLOOKUP(A43,saisie!B$7:AL$26,9,0)</f>
        <v>#N/A</v>
      </c>
      <c r="J43" s="153" t="e">
        <f>VLOOKUP(A43,saisie!B$7:AL$26,10,0)</f>
        <v>#N/A</v>
      </c>
      <c r="K43" s="154" t="e">
        <f>VLOOKUP(A43,saisie!B$7:AL$26,11,0)</f>
        <v>#N/A</v>
      </c>
      <c r="L43" s="154" t="e">
        <f>VLOOKUP(A43,saisie!B$7:AL$26,12,0)</f>
        <v>#N/A</v>
      </c>
      <c r="M43" s="154" t="e">
        <f>VLOOKUP(A43,saisie!B$7:AL$26,13,0)</f>
        <v>#N/A</v>
      </c>
      <c r="N43" s="155" t="e">
        <f>VLOOKUP(A43,saisie!B$7:AL$26,14,0)</f>
        <v>#N/A</v>
      </c>
      <c r="O43" s="156" t="e">
        <f>VLOOKUP(A43,saisie!B$7:AL$26,15,0)</f>
        <v>#N/A</v>
      </c>
      <c r="P43" s="153" t="e">
        <f>VLOOKUP(A43,saisie!B$7:AL$26,16,0)</f>
        <v>#N/A</v>
      </c>
      <c r="Q43" s="154" t="e">
        <f>VLOOKUP(A43,saisie!B$7:AL$26,17,0)</f>
        <v>#N/A</v>
      </c>
      <c r="R43" s="154" t="e">
        <f>VLOOKUP(A43,saisie!B$7:AL$26,18,0)</f>
        <v>#N/A</v>
      </c>
      <c r="S43" s="154" t="e">
        <f>VLOOKUP(A43,saisie!B$7:AL$26,19,0)</f>
        <v>#N/A</v>
      </c>
      <c r="T43" s="155" t="e">
        <f>VLOOKUP(A43,saisie!B$7:AL$26,20,0)</f>
        <v>#N/A</v>
      </c>
      <c r="U43" s="156" t="e">
        <f>VLOOKUP(A43,saisie!B$7:AL$26,21,0)</f>
        <v>#N/A</v>
      </c>
      <c r="V43" s="153" t="e">
        <f>VLOOKUP(A43,saisie!B$7:AL$26,22,0)</f>
        <v>#N/A</v>
      </c>
      <c r="W43" s="154" t="e">
        <f>VLOOKUP(A43,saisie!B$7:AL$26,23,0)</f>
        <v>#N/A</v>
      </c>
      <c r="X43" s="154" t="e">
        <f>VLOOKUP(A43,saisie!B$7:AL$26,24,0)</f>
        <v>#N/A</v>
      </c>
      <c r="Y43" s="154" t="e">
        <f>VLOOKUP(A43,saisie!B$7:AL$26,25,0)</f>
        <v>#N/A</v>
      </c>
      <c r="Z43" s="155" t="e">
        <f>VLOOKUP(A43,saisie!B$7:AL$26,26,0)</f>
        <v>#N/A</v>
      </c>
      <c r="AA43" s="156" t="e">
        <f>VLOOKUP(A43,saisie!B$7:AL$26,27,0)</f>
        <v>#N/A</v>
      </c>
      <c r="AB43" s="153" t="e">
        <f>VLOOKUP(A43,saisie!B$7:AL$26,28,0)</f>
        <v>#N/A</v>
      </c>
      <c r="AC43" s="154" t="e">
        <f>VLOOKUP(A43,saisie!B$7:AL$26,29,0)</f>
        <v>#N/A</v>
      </c>
      <c r="AD43" s="154" t="e">
        <f>VLOOKUP(A43,saisie!B$7:AL$26,30,0)</f>
        <v>#N/A</v>
      </c>
      <c r="AE43" s="154" t="e">
        <f>VLOOKUP(A43,saisie!B$7:AL$26,31,0)</f>
        <v>#N/A</v>
      </c>
      <c r="AF43" s="155" t="e">
        <f>VLOOKUP(A43,saisie!B$7:AL$26,32,0)</f>
        <v>#N/A</v>
      </c>
      <c r="AG43" s="156" t="e">
        <f>VLOOKUP(A43,saisie!B$7:AL$26,33,0)</f>
        <v>#N/A</v>
      </c>
      <c r="AH43" s="160" t="e">
        <f>VLOOKUP(A43,saisie!B$7:AL$26,34,0)</f>
        <v>#N/A</v>
      </c>
      <c r="AI43" s="157" t="e">
        <f>VLOOKUP(A43,saisie!B$7:AL$26,35,0)</f>
        <v>#N/A</v>
      </c>
      <c r="AJ43" s="158"/>
    </row>
    <row r="44" spans="1:36" ht="109.05" customHeight="1">
      <c r="A44" s="159" t="str">
        <f>IF(INFO!B8&gt;37,38,"")</f>
        <v/>
      </c>
      <c r="B44" s="151" t="e">
        <f>VLOOKUP(A44,saisie!B$7:AL$26,2,0)</f>
        <v>#N/A</v>
      </c>
      <c r="C44" s="152" t="e">
        <f>VLOOKUP(A44,saisie!B$7:AL$26,3,0)</f>
        <v>#N/A</v>
      </c>
      <c r="D44" s="153" t="e">
        <f>VLOOKUP(A44,saisie!B$7:AL$26,4,0)</f>
        <v>#N/A</v>
      </c>
      <c r="E44" s="154" t="e">
        <f>VLOOKUP(A44,saisie!B$7:AL$26,5,0)</f>
        <v>#N/A</v>
      </c>
      <c r="F44" s="154" t="e">
        <f>VLOOKUP(A44,saisie!B$7:AL$26,6,0)</f>
        <v>#N/A</v>
      </c>
      <c r="G44" s="154" t="e">
        <f>VLOOKUP(A44,saisie!B$7:AL$26,7,0)</f>
        <v>#N/A</v>
      </c>
      <c r="H44" s="155" t="e">
        <f>VLOOKUP(A44,saisie!B$7:AL$26,8,0)</f>
        <v>#N/A</v>
      </c>
      <c r="I44" s="156" t="e">
        <f>VLOOKUP(A44,saisie!B$7:AL$26,9,0)</f>
        <v>#N/A</v>
      </c>
      <c r="J44" s="153" t="e">
        <f>VLOOKUP(A44,saisie!B$7:AL$26,10,0)</f>
        <v>#N/A</v>
      </c>
      <c r="K44" s="154" t="e">
        <f>VLOOKUP(A44,saisie!B$7:AL$26,11,0)</f>
        <v>#N/A</v>
      </c>
      <c r="L44" s="154" t="e">
        <f>VLOOKUP(A44,saisie!B$7:AL$26,12,0)</f>
        <v>#N/A</v>
      </c>
      <c r="M44" s="154" t="e">
        <f>VLOOKUP(A44,saisie!B$7:AL$26,13,0)</f>
        <v>#N/A</v>
      </c>
      <c r="N44" s="155" t="e">
        <f>VLOOKUP(A44,saisie!B$7:AL$26,14,0)</f>
        <v>#N/A</v>
      </c>
      <c r="O44" s="156" t="e">
        <f>VLOOKUP(A44,saisie!B$7:AL$26,15,0)</f>
        <v>#N/A</v>
      </c>
      <c r="P44" s="153" t="e">
        <f>VLOOKUP(A44,saisie!B$7:AL$26,16,0)</f>
        <v>#N/A</v>
      </c>
      <c r="Q44" s="154" t="e">
        <f>VLOOKUP(A44,saisie!B$7:AL$26,17,0)</f>
        <v>#N/A</v>
      </c>
      <c r="R44" s="154" t="e">
        <f>VLOOKUP(A44,saisie!B$7:AL$26,18,0)</f>
        <v>#N/A</v>
      </c>
      <c r="S44" s="154" t="e">
        <f>VLOOKUP(A44,saisie!B$7:AL$26,19,0)</f>
        <v>#N/A</v>
      </c>
      <c r="T44" s="155" t="e">
        <f>VLOOKUP(A44,saisie!B$7:AL$26,20,0)</f>
        <v>#N/A</v>
      </c>
      <c r="U44" s="156" t="e">
        <f>VLOOKUP(A44,saisie!B$7:AL$26,21,0)</f>
        <v>#N/A</v>
      </c>
      <c r="V44" s="153" t="e">
        <f>VLOOKUP(A44,saisie!B$7:AL$26,22,0)</f>
        <v>#N/A</v>
      </c>
      <c r="W44" s="154" t="e">
        <f>VLOOKUP(A44,saisie!B$7:AL$26,23,0)</f>
        <v>#N/A</v>
      </c>
      <c r="X44" s="154" t="e">
        <f>VLOOKUP(A44,saisie!B$7:AL$26,24,0)</f>
        <v>#N/A</v>
      </c>
      <c r="Y44" s="154" t="e">
        <f>VLOOKUP(A44,saisie!B$7:AL$26,25,0)</f>
        <v>#N/A</v>
      </c>
      <c r="Z44" s="155" t="e">
        <f>VLOOKUP(A44,saisie!B$7:AL$26,26,0)</f>
        <v>#N/A</v>
      </c>
      <c r="AA44" s="156" t="e">
        <f>VLOOKUP(A44,saisie!B$7:AL$26,27,0)</f>
        <v>#N/A</v>
      </c>
      <c r="AB44" s="153" t="e">
        <f>VLOOKUP(A44,saisie!B$7:AL$26,28,0)</f>
        <v>#N/A</v>
      </c>
      <c r="AC44" s="154" t="e">
        <f>VLOOKUP(A44,saisie!B$7:AL$26,29,0)</f>
        <v>#N/A</v>
      </c>
      <c r="AD44" s="154" t="e">
        <f>VLOOKUP(A44,saisie!B$7:AL$26,30,0)</f>
        <v>#N/A</v>
      </c>
      <c r="AE44" s="154" t="e">
        <f>VLOOKUP(A44,saisie!B$7:AL$26,31,0)</f>
        <v>#N/A</v>
      </c>
      <c r="AF44" s="155" t="e">
        <f>VLOOKUP(A44,saisie!B$7:AL$26,32,0)</f>
        <v>#N/A</v>
      </c>
      <c r="AG44" s="156" t="e">
        <f>VLOOKUP(A44,saisie!B$7:AL$26,33,0)</f>
        <v>#N/A</v>
      </c>
      <c r="AH44" s="160" t="e">
        <f>VLOOKUP(A44,saisie!B$7:AL$26,34,0)</f>
        <v>#N/A</v>
      </c>
      <c r="AI44" s="157" t="e">
        <f>VLOOKUP(A44,saisie!B$7:AL$26,35,0)</f>
        <v>#N/A</v>
      </c>
      <c r="AJ44" s="158"/>
    </row>
    <row r="45" spans="1:36" ht="109.05" customHeight="1">
      <c r="A45" s="159" t="str">
        <f>IF(INFO!B8&gt;38,39,"")</f>
        <v/>
      </c>
      <c r="B45" s="151" t="e">
        <f>VLOOKUP(A45,saisie!B$7:AL$26,2,0)</f>
        <v>#N/A</v>
      </c>
      <c r="C45" s="152" t="e">
        <f>VLOOKUP(A45,saisie!B$7:AL$26,3,0)</f>
        <v>#N/A</v>
      </c>
      <c r="D45" s="153" t="e">
        <f>VLOOKUP(A45,saisie!B$7:AL$26,4,0)</f>
        <v>#N/A</v>
      </c>
      <c r="E45" s="154" t="e">
        <f>VLOOKUP(A45,saisie!B$7:AL$26,5,0)</f>
        <v>#N/A</v>
      </c>
      <c r="F45" s="154" t="e">
        <f>VLOOKUP(A45,saisie!B$7:AL$26,6,0)</f>
        <v>#N/A</v>
      </c>
      <c r="G45" s="154" t="e">
        <f>VLOOKUP(A45,saisie!B$7:AL$26,7,0)</f>
        <v>#N/A</v>
      </c>
      <c r="H45" s="155" t="e">
        <f>VLOOKUP(A45,saisie!B$7:AL$26,8,0)</f>
        <v>#N/A</v>
      </c>
      <c r="I45" s="156" t="e">
        <f>VLOOKUP(A45,saisie!B$7:AL$26,9,0)</f>
        <v>#N/A</v>
      </c>
      <c r="J45" s="153" t="e">
        <f>VLOOKUP(A45,saisie!B$7:AL$26,10,0)</f>
        <v>#N/A</v>
      </c>
      <c r="K45" s="154" t="e">
        <f>VLOOKUP(A45,saisie!B$7:AL$26,11,0)</f>
        <v>#N/A</v>
      </c>
      <c r="L45" s="154" t="e">
        <f>VLOOKUP(A45,saisie!B$7:AL$26,12,0)</f>
        <v>#N/A</v>
      </c>
      <c r="M45" s="154" t="e">
        <f>VLOOKUP(A45,saisie!B$7:AL$26,13,0)</f>
        <v>#N/A</v>
      </c>
      <c r="N45" s="155" t="e">
        <f>VLOOKUP(A45,saisie!B$7:AL$26,14,0)</f>
        <v>#N/A</v>
      </c>
      <c r="O45" s="156" t="e">
        <f>VLOOKUP(A45,saisie!B$7:AL$26,15,0)</f>
        <v>#N/A</v>
      </c>
      <c r="P45" s="153" t="e">
        <f>VLOOKUP(A45,saisie!B$7:AL$26,16,0)</f>
        <v>#N/A</v>
      </c>
      <c r="Q45" s="154" t="e">
        <f>VLOOKUP(A45,saisie!B$7:AL$26,17,0)</f>
        <v>#N/A</v>
      </c>
      <c r="R45" s="154" t="e">
        <f>VLOOKUP(A45,saisie!B$7:AL$26,18,0)</f>
        <v>#N/A</v>
      </c>
      <c r="S45" s="154" t="e">
        <f>VLOOKUP(A45,saisie!B$7:AL$26,19,0)</f>
        <v>#N/A</v>
      </c>
      <c r="T45" s="155" t="e">
        <f>VLOOKUP(A45,saisie!B$7:AL$26,20,0)</f>
        <v>#N/A</v>
      </c>
      <c r="U45" s="156" t="e">
        <f>VLOOKUP(A45,saisie!B$7:AL$26,21,0)</f>
        <v>#N/A</v>
      </c>
      <c r="V45" s="153" t="e">
        <f>VLOOKUP(A45,saisie!B$7:AL$26,22,0)</f>
        <v>#N/A</v>
      </c>
      <c r="W45" s="154" t="e">
        <f>VLOOKUP(A45,saisie!B$7:AL$26,23,0)</f>
        <v>#N/A</v>
      </c>
      <c r="X45" s="154" t="e">
        <f>VLOOKUP(A45,saisie!B$7:AL$26,24,0)</f>
        <v>#N/A</v>
      </c>
      <c r="Y45" s="154" t="e">
        <f>VLOOKUP(A45,saisie!B$7:AL$26,25,0)</f>
        <v>#N/A</v>
      </c>
      <c r="Z45" s="155" t="e">
        <f>VLOOKUP(A45,saisie!B$7:AL$26,26,0)</f>
        <v>#N/A</v>
      </c>
      <c r="AA45" s="156" t="e">
        <f>VLOOKUP(A45,saisie!B$7:AL$26,27,0)</f>
        <v>#N/A</v>
      </c>
      <c r="AB45" s="153" t="e">
        <f>VLOOKUP(A45,saisie!B$7:AL$26,28,0)</f>
        <v>#N/A</v>
      </c>
      <c r="AC45" s="154" t="e">
        <f>VLOOKUP(A45,saisie!B$7:AL$26,29,0)</f>
        <v>#N/A</v>
      </c>
      <c r="AD45" s="154" t="e">
        <f>VLOOKUP(A45,saisie!B$7:AL$26,30,0)</f>
        <v>#N/A</v>
      </c>
      <c r="AE45" s="154" t="e">
        <f>VLOOKUP(A45,saisie!B$7:AL$26,31,0)</f>
        <v>#N/A</v>
      </c>
      <c r="AF45" s="155" t="e">
        <f>VLOOKUP(A45,saisie!B$7:AL$26,32,0)</f>
        <v>#N/A</v>
      </c>
      <c r="AG45" s="156" t="e">
        <f>VLOOKUP(A45,saisie!B$7:AL$26,33,0)</f>
        <v>#N/A</v>
      </c>
      <c r="AH45" s="160" t="e">
        <f>VLOOKUP(A45,saisie!B$7:AL$26,34,0)</f>
        <v>#N/A</v>
      </c>
      <c r="AI45" s="157" t="e">
        <f>VLOOKUP(A45,saisie!B$7:AL$26,35,0)</f>
        <v>#N/A</v>
      </c>
      <c r="AJ45" s="158"/>
    </row>
    <row r="46" spans="1:36" ht="109.05" customHeight="1" thickBot="1">
      <c r="A46" s="161" t="str">
        <f>IF(INFO!B8&gt;39,40,"")</f>
        <v/>
      </c>
      <c r="B46" s="162" t="e">
        <f>VLOOKUP(A46,saisie!B$7:AL$26,2,0)</f>
        <v>#N/A</v>
      </c>
      <c r="C46" s="163" t="e">
        <f>VLOOKUP(A46,saisie!B$7:AL$26,3,0)</f>
        <v>#N/A</v>
      </c>
      <c r="D46" s="164" t="e">
        <f>VLOOKUP(A46,saisie!B$7:AL$26,4,0)</f>
        <v>#N/A</v>
      </c>
      <c r="E46" s="165" t="e">
        <f>VLOOKUP(A46,saisie!B$7:AL$26,5,0)</f>
        <v>#N/A</v>
      </c>
      <c r="F46" s="165" t="e">
        <f>VLOOKUP(A46,saisie!B$7:AL$26,6,0)</f>
        <v>#N/A</v>
      </c>
      <c r="G46" s="165" t="e">
        <f>VLOOKUP(A46,saisie!B$7:AL$26,7,0)</f>
        <v>#N/A</v>
      </c>
      <c r="H46" s="166" t="e">
        <f>VLOOKUP(A46,saisie!B$7:AL$26,8,0)</f>
        <v>#N/A</v>
      </c>
      <c r="I46" s="167" t="e">
        <f>VLOOKUP(A46,saisie!B$7:AL$26,9,0)</f>
        <v>#N/A</v>
      </c>
      <c r="J46" s="164" t="e">
        <f>VLOOKUP(A46,saisie!B$7:AL$26,10,0)</f>
        <v>#N/A</v>
      </c>
      <c r="K46" s="165" t="e">
        <f>VLOOKUP(A46,saisie!B$7:AL$26,11,0)</f>
        <v>#N/A</v>
      </c>
      <c r="L46" s="165" t="e">
        <f>VLOOKUP(A46,saisie!B$7:AL$26,12,0)</f>
        <v>#N/A</v>
      </c>
      <c r="M46" s="165" t="e">
        <f>VLOOKUP(A46,saisie!B$7:AL$26,13,0)</f>
        <v>#N/A</v>
      </c>
      <c r="N46" s="166" t="e">
        <f>VLOOKUP(A46,saisie!B$7:AL$26,14,0)</f>
        <v>#N/A</v>
      </c>
      <c r="O46" s="167" t="e">
        <f>VLOOKUP(A46,saisie!B$7:AL$26,15,0)</f>
        <v>#N/A</v>
      </c>
      <c r="P46" s="164" t="e">
        <f>VLOOKUP(A46,saisie!B$7:AL$26,16,0)</f>
        <v>#N/A</v>
      </c>
      <c r="Q46" s="165" t="e">
        <f>VLOOKUP(A46,saisie!B$7:AL$26,17,0)</f>
        <v>#N/A</v>
      </c>
      <c r="R46" s="165" t="e">
        <f>VLOOKUP(A46,saisie!B$7:AL$26,18,0)</f>
        <v>#N/A</v>
      </c>
      <c r="S46" s="165" t="e">
        <f>VLOOKUP(A46,saisie!B$7:AL$26,19,0)</f>
        <v>#N/A</v>
      </c>
      <c r="T46" s="166" t="e">
        <f>VLOOKUP(A46,saisie!B$7:AL$26,20,0)</f>
        <v>#N/A</v>
      </c>
      <c r="U46" s="167" t="e">
        <f>VLOOKUP(A46,saisie!B$7:AL$26,21,0)</f>
        <v>#N/A</v>
      </c>
      <c r="V46" s="164" t="e">
        <f>VLOOKUP(A46,saisie!B$7:AL$26,22,0)</f>
        <v>#N/A</v>
      </c>
      <c r="W46" s="165" t="e">
        <f>VLOOKUP(A46,saisie!B$7:AL$26,23,0)</f>
        <v>#N/A</v>
      </c>
      <c r="X46" s="165" t="e">
        <f>VLOOKUP(A46,saisie!B$7:AL$26,24,0)</f>
        <v>#N/A</v>
      </c>
      <c r="Y46" s="165" t="e">
        <f>VLOOKUP(A46,saisie!B$7:AL$26,25,0)</f>
        <v>#N/A</v>
      </c>
      <c r="Z46" s="166" t="e">
        <f>VLOOKUP(A46,saisie!B$7:AL$26,26,0)</f>
        <v>#N/A</v>
      </c>
      <c r="AA46" s="167" t="e">
        <f>VLOOKUP(A46,saisie!B$7:AL$26,27,0)</f>
        <v>#N/A</v>
      </c>
      <c r="AB46" s="164" t="e">
        <f>VLOOKUP(A46,saisie!B$7:AL$26,28,0)</f>
        <v>#N/A</v>
      </c>
      <c r="AC46" s="165" t="e">
        <f>VLOOKUP(A46,saisie!B$7:AL$26,29,0)</f>
        <v>#N/A</v>
      </c>
      <c r="AD46" s="165" t="e">
        <f>VLOOKUP(A46,saisie!B$7:AL$26,30,0)</f>
        <v>#N/A</v>
      </c>
      <c r="AE46" s="165" t="e">
        <f>VLOOKUP(A46,saisie!B$7:AL$26,31,0)</f>
        <v>#N/A</v>
      </c>
      <c r="AF46" s="166" t="e">
        <f>VLOOKUP(A46,saisie!B$7:AL$26,32,0)</f>
        <v>#N/A</v>
      </c>
      <c r="AG46" s="167" t="e">
        <f>VLOOKUP(A46,saisie!B$7:AL$26,33,0)</f>
        <v>#N/A</v>
      </c>
      <c r="AH46" s="168" t="e">
        <f>VLOOKUP(A46,saisie!B$7:AL$26,34,0)</f>
        <v>#N/A</v>
      </c>
      <c r="AI46" s="169" t="e">
        <f>VLOOKUP(A46,saisie!B$7:AL$26,35,0)</f>
        <v>#N/A</v>
      </c>
      <c r="AJ46" s="158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70" priority="13" operator="equal">
      <formula>0</formula>
    </cfRule>
    <cfRule type="containsErrors" dxfId="69" priority="18">
      <formula>ISERROR(B7)</formula>
    </cfRule>
  </conditionalFormatting>
  <conditionalFormatting sqref="A7:A13 A15:A45">
    <cfRule type="containsBlanks" dxfId="68" priority="17">
      <formula>LEN(TRIM(A7))=0</formula>
    </cfRule>
  </conditionalFormatting>
  <conditionalFormatting sqref="B14:AI14 AE15">
    <cfRule type="cellIs" dxfId="67" priority="6" operator="equal">
      <formula>0</formula>
    </cfRule>
    <cfRule type="containsErrors" dxfId="66" priority="7">
      <formula>ISERROR(B14)</formula>
    </cfRule>
  </conditionalFormatting>
  <conditionalFormatting sqref="A46">
    <cfRule type="containsBlanks" dxfId="65" priority="4">
      <formula>LEN(TRIM(A46))=0</formula>
    </cfRule>
  </conditionalFormatting>
  <conditionalFormatting sqref="A14">
    <cfRule type="containsBlanks" dxfId="6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51"/>
      <c r="B1" s="52" t="s">
        <v>14</v>
      </c>
      <c r="C1" s="51" t="str">
        <f>'M Q'!B7</f>
        <v>SEST</v>
      </c>
      <c r="D1" s="51"/>
      <c r="E1" s="51"/>
      <c r="F1" s="51">
        <f>'M Q'!AH7</f>
        <v>1467.6999999999998</v>
      </c>
      <c r="G1" s="51"/>
      <c r="H1" s="12"/>
      <c r="I1" s="56"/>
      <c r="J1" s="52" t="str">
        <f>IF(INFO!B8&gt;7,"CLUB N°8","")</f>
        <v>CLUB N°8</v>
      </c>
      <c r="K1" s="51" t="str">
        <f>'M Q'!B14</f>
        <v>CTPS</v>
      </c>
      <c r="L1" s="51"/>
      <c r="M1" s="51"/>
      <c r="N1" s="51">
        <f>'M Q'!AH14</f>
        <v>1095</v>
      </c>
      <c r="O1" s="52"/>
    </row>
    <row r="2" spans="1:15" ht="22.0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05" customHeight="1">
      <c r="A3" s="54">
        <f>F3+0.0001*G3+0.0000001*E3+0.0000000001*D3</f>
        <v>291.90000980979994</v>
      </c>
      <c r="B3" s="52" t="str">
        <f>'M Q'!D7</f>
        <v>COTTEL Agnès</v>
      </c>
      <c r="C3" s="51">
        <f>'M Q'!E7</f>
        <v>95.9</v>
      </c>
      <c r="D3" s="51">
        <f>'M Q'!F7</f>
        <v>98</v>
      </c>
      <c r="E3" s="51">
        <f>'M Q'!G7</f>
        <v>98</v>
      </c>
      <c r="F3" s="51">
        <f>'M Q'!H7</f>
        <v>291.89999999999998</v>
      </c>
      <c r="G3" s="51">
        <f>'M Q'!I7</f>
        <v>0</v>
      </c>
      <c r="H3" s="12"/>
      <c r="I3" s="54">
        <f>N3+0.0001*O3+0.0000001*M3+0.0000000001*L3</f>
        <v>223.90000680794</v>
      </c>
      <c r="J3" s="52" t="str">
        <f>'M Q'!D14</f>
        <v>DUQUENOIS Christophe</v>
      </c>
      <c r="K3" s="52">
        <f>'M Q'!E14</f>
        <v>76.5</v>
      </c>
      <c r="L3" s="52">
        <f>'M Q'!F14</f>
        <v>79.400000000000006</v>
      </c>
      <c r="M3" s="52">
        <f>'M Q'!G14</f>
        <v>68</v>
      </c>
      <c r="N3" s="52">
        <f>'M Q'!H14</f>
        <v>223.9</v>
      </c>
      <c r="O3" s="52">
        <f>'M Q'!I14</f>
        <v>0</v>
      </c>
    </row>
    <row r="4" spans="1:15" ht="22.05" customHeight="1">
      <c r="A4" s="54">
        <f>F4+0.0001*G4+0.0000001*E4+0.0000000001*D4</f>
        <v>293.10000986987001</v>
      </c>
      <c r="B4" s="52" t="str">
        <f>'M Q'!J7</f>
        <v>QUINSON Françoise</v>
      </c>
      <c r="C4" s="51">
        <f>'M Q'!K7</f>
        <v>95.8</v>
      </c>
      <c r="D4" s="51">
        <f>'M Q'!L7</f>
        <v>98.7</v>
      </c>
      <c r="E4" s="51">
        <f>'M Q'!M7</f>
        <v>98.6</v>
      </c>
      <c r="F4" s="51">
        <f>'M Q'!N7</f>
        <v>293.10000000000002</v>
      </c>
      <c r="G4" s="51">
        <f>'M Q'!O7</f>
        <v>0</v>
      </c>
      <c r="H4" s="12"/>
      <c r="I4" s="54">
        <f>N4+0.0001*O4+0.0000001*M4+0.0000000001*L4</f>
        <v>262.50000931878998</v>
      </c>
      <c r="J4" s="52" t="str">
        <f>'M Q'!J14</f>
        <v>DIAS Erwann</v>
      </c>
      <c r="K4" s="52">
        <f>'M Q'!K14</f>
        <v>81.5</v>
      </c>
      <c r="L4" s="52">
        <f>'M Q'!L14</f>
        <v>87.9</v>
      </c>
      <c r="M4" s="52">
        <f>'M Q'!M14</f>
        <v>93.1</v>
      </c>
      <c r="N4" s="52">
        <f>'M Q'!N14</f>
        <v>262.5</v>
      </c>
      <c r="O4" s="52">
        <f>'M Q'!O14</f>
        <v>0</v>
      </c>
    </row>
    <row r="5" spans="1:15" ht="22.05" customHeight="1">
      <c r="A5" s="54">
        <f>F5+0.0001*G5+0.0000001*E5+0.0000000001*D5</f>
        <v>291.00001012983</v>
      </c>
      <c r="B5" s="52" t="str">
        <f>'M Q'!P7</f>
        <v>DELAYE Olivier</v>
      </c>
      <c r="C5" s="51">
        <f>'M Q'!Q7</f>
        <v>91.5</v>
      </c>
      <c r="D5" s="51">
        <f>'M Q'!R7</f>
        <v>98.3</v>
      </c>
      <c r="E5" s="51">
        <f>'M Q'!S7</f>
        <v>101.2</v>
      </c>
      <c r="F5" s="51">
        <f>'M Q'!T7</f>
        <v>291</v>
      </c>
      <c r="G5" s="51">
        <f>'M Q'!U7</f>
        <v>0</v>
      </c>
      <c r="H5" s="12"/>
      <c r="I5" s="54">
        <f>N5+0.0001*O5+0.0000001*M5+0.0000000001*L5</f>
        <v>193.90000670668002</v>
      </c>
      <c r="J5" s="52" t="str">
        <f>'M Q'!P14</f>
        <v>BEAL Bruno</v>
      </c>
      <c r="K5" s="52">
        <f>'M Q'!Q14</f>
        <v>60.1</v>
      </c>
      <c r="L5" s="52">
        <f>'M Q'!R14</f>
        <v>66.8</v>
      </c>
      <c r="M5" s="52">
        <f>'M Q'!S14</f>
        <v>67</v>
      </c>
      <c r="N5" s="52">
        <f>'M Q'!T14</f>
        <v>193.9</v>
      </c>
      <c r="O5" s="52">
        <f>'M Q'!U14</f>
        <v>0</v>
      </c>
    </row>
    <row r="6" spans="1:15" ht="22.05" customHeight="1">
      <c r="A6" s="54">
        <f>F6+0.0001*G6+0.0000001*E6+0.0000000001*D6</f>
        <v>292.80000975978004</v>
      </c>
      <c r="B6" s="52" t="str">
        <f>'M Q'!V7</f>
        <v>PACORET Hugo</v>
      </c>
      <c r="C6" s="51">
        <f>'M Q'!W7</f>
        <v>97.5</v>
      </c>
      <c r="D6" s="51">
        <f>'M Q'!X7</f>
        <v>97.8</v>
      </c>
      <c r="E6" s="51">
        <f>'M Q'!Y7</f>
        <v>97.5</v>
      </c>
      <c r="F6" s="51">
        <f>'M Q'!Z7</f>
        <v>292.8</v>
      </c>
      <c r="G6" s="51">
        <f>'M Q'!AA7</f>
        <v>0</v>
      </c>
      <c r="H6" s="12"/>
      <c r="I6" s="54">
        <f>N6+0.0001*O6+0.0000001*M6+0.0000000001*L6</f>
        <v>232.50000796735998</v>
      </c>
      <c r="J6" s="52" t="str">
        <f>'M Q'!V14</f>
        <v>PÈRE Laurent</v>
      </c>
      <c r="K6" s="52">
        <f>'M Q'!W14</f>
        <v>79.3</v>
      </c>
      <c r="L6" s="52">
        <f>'M Q'!X14</f>
        <v>73.599999999999994</v>
      </c>
      <c r="M6" s="52">
        <f>'M Q'!Y14</f>
        <v>79.599999999999994</v>
      </c>
      <c r="N6" s="52">
        <f>'M Q'!Z14</f>
        <v>232.49999999999997</v>
      </c>
      <c r="O6" s="52">
        <f>'M Q'!AA14</f>
        <v>0</v>
      </c>
    </row>
    <row r="7" spans="1:15" ht="22.05" customHeight="1">
      <c r="A7" s="54">
        <f>F7+0.0001*G7+0.0000001*E7+0.0000000001*D7</f>
        <v>298.90001004997998</v>
      </c>
      <c r="B7" s="52" t="str">
        <f>'M Q'!AB7</f>
        <v>BONELLI Angéline</v>
      </c>
      <c r="C7" s="51">
        <f>'M Q'!AC7</f>
        <v>98.7</v>
      </c>
      <c r="D7" s="51">
        <f>'M Q'!AD7</f>
        <v>99.8</v>
      </c>
      <c r="E7" s="51">
        <f>'M Q'!AE7</f>
        <v>100.4</v>
      </c>
      <c r="F7" s="51">
        <f>'M Q'!AF7</f>
        <v>298.89999999999998</v>
      </c>
      <c r="G7" s="51">
        <f>'M Q'!AG7</f>
        <v>0</v>
      </c>
      <c r="H7" s="12"/>
      <c r="I7" s="54">
        <f>N7+0.0001*O7+0.0000001*M7+0.0000000001*L7</f>
        <v>182.20000619507999</v>
      </c>
      <c r="J7" s="52" t="str">
        <f>'M Q'!AB14</f>
        <v>DURIEUX Patrick</v>
      </c>
      <c r="K7" s="52">
        <f>'M Q'!AC14</f>
        <v>69.5</v>
      </c>
      <c r="L7" s="52">
        <f>'M Q'!AD14</f>
        <v>50.8</v>
      </c>
      <c r="M7" s="52">
        <f>'M Q'!AE14</f>
        <v>61.9</v>
      </c>
      <c r="N7" s="52">
        <f>'M Q'!AF14</f>
        <v>182.2</v>
      </c>
      <c r="O7" s="52">
        <f>'M Q'!AG14</f>
        <v>0</v>
      </c>
    </row>
    <row r="8" spans="1:15" ht="22.0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05" customHeight="1">
      <c r="A9" s="51"/>
      <c r="B9" s="52" t="s">
        <v>37</v>
      </c>
      <c r="C9" s="52" t="str">
        <f>'M Q'!B8</f>
        <v>STSM</v>
      </c>
      <c r="D9" s="52"/>
      <c r="E9" s="52"/>
      <c r="F9" s="51">
        <f>'M Q'!AH8</f>
        <v>1402.3999999999999</v>
      </c>
      <c r="G9" s="51"/>
      <c r="H9" s="12"/>
      <c r="I9" s="51"/>
      <c r="J9" s="52" t="str">
        <f>IF(INFO!B8&gt;6,"CLUB N°7","")</f>
        <v>CLUB N°7</v>
      </c>
      <c r="K9" s="52" t="str">
        <f>'M Q'!B13</f>
        <v>CR</v>
      </c>
      <c r="L9" s="52"/>
      <c r="M9" s="52"/>
      <c r="N9" s="51">
        <f>'M Q'!AH13</f>
        <v>1254.7</v>
      </c>
      <c r="O9" s="52"/>
    </row>
    <row r="10" spans="1:15" ht="22.0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05" customHeight="1">
      <c r="A11" s="54">
        <f>F11+0.0001*G11+0.0000001*E11+0.0000000001*D11</f>
        <v>285.50000972949999</v>
      </c>
      <c r="B11" s="52" t="str">
        <f>'M Q'!D8</f>
        <v>POPIER Théo</v>
      </c>
      <c r="C11" s="51">
        <f>'M Q'!E8</f>
        <v>93.3</v>
      </c>
      <c r="D11" s="51">
        <f>'M Q'!F8</f>
        <v>95</v>
      </c>
      <c r="E11" s="51">
        <f>'M Q'!G8</f>
        <v>97.2</v>
      </c>
      <c r="F11" s="51">
        <f>'M Q'!H8</f>
        <v>285.5</v>
      </c>
      <c r="G11" s="51">
        <f>'M Q'!I8</f>
        <v>0</v>
      </c>
      <c r="H11" s="12"/>
      <c r="I11" s="54">
        <f>N11+0.0001*O11+0.0000001*M11+0.0000000001*L11</f>
        <v>257.50000895840998</v>
      </c>
      <c r="J11" s="52" t="str">
        <f>'M Q'!D13</f>
        <v>POITOUX Jean-Marc</v>
      </c>
      <c r="K11" s="52">
        <f>'M Q'!E13</f>
        <v>83.9</v>
      </c>
      <c r="L11" s="52">
        <f>'M Q'!F13</f>
        <v>84.1</v>
      </c>
      <c r="M11" s="52">
        <f>'M Q'!G13</f>
        <v>89.5</v>
      </c>
      <c r="N11" s="52">
        <f>'M Q'!H13</f>
        <v>257.5</v>
      </c>
      <c r="O11" s="52">
        <f>'M Q'!I13</f>
        <v>0</v>
      </c>
    </row>
    <row r="12" spans="1:15" ht="22.05" customHeight="1">
      <c r="A12" s="54">
        <f>F12+0.0001*G12+0.0000001*E12+0.0000000001*D12</f>
        <v>282.00000923946999</v>
      </c>
      <c r="B12" s="52" t="str">
        <f>'M Q'!J8</f>
        <v>JACQUETIN Olivier</v>
      </c>
      <c r="C12" s="51">
        <f>'M Q'!K8</f>
        <v>95</v>
      </c>
      <c r="D12" s="51">
        <f>'M Q'!L8</f>
        <v>94.7</v>
      </c>
      <c r="E12" s="51">
        <f>'M Q'!M8</f>
        <v>92.3</v>
      </c>
      <c r="F12" s="51">
        <f>'M Q'!N8</f>
        <v>282</v>
      </c>
      <c r="G12" s="51">
        <f>'M Q'!O8</f>
        <v>0</v>
      </c>
      <c r="H12" s="12"/>
      <c r="I12" s="54">
        <f>N12+0.0001*O12+0.0000001*M12+0.0000000001*L12</f>
        <v>273.10000909909002</v>
      </c>
      <c r="J12" s="52" t="str">
        <f>'M Q'!J13</f>
        <v>GUYON Loïc</v>
      </c>
      <c r="K12" s="52">
        <f>'M Q'!K13</f>
        <v>91.3</v>
      </c>
      <c r="L12" s="52">
        <f>'M Q'!L13</f>
        <v>90.9</v>
      </c>
      <c r="M12" s="52">
        <f>'M Q'!M13</f>
        <v>90.9</v>
      </c>
      <c r="N12" s="52">
        <f>'M Q'!N13</f>
        <v>273.10000000000002</v>
      </c>
      <c r="O12" s="52">
        <f>'M Q'!O13</f>
        <v>0</v>
      </c>
    </row>
    <row r="13" spans="1:15" ht="22.05" customHeight="1">
      <c r="A13" s="54">
        <f>F13+0.0001*G13+0.0000001*E13+0.0000000001*D13</f>
        <v>268.90000907943994</v>
      </c>
      <c r="B13" s="52" t="str">
        <f>'M Q'!P8</f>
        <v>BERLANDE Julianne</v>
      </c>
      <c r="C13" s="51">
        <f>'M Q'!Q8</f>
        <v>83.8</v>
      </c>
      <c r="D13" s="51">
        <f>'M Q'!R8</f>
        <v>94.4</v>
      </c>
      <c r="E13" s="51">
        <f>'M Q'!S8</f>
        <v>90.7</v>
      </c>
      <c r="F13" s="51">
        <f>'M Q'!T8</f>
        <v>268.89999999999998</v>
      </c>
      <c r="G13" s="51">
        <f>'M Q'!U8</f>
        <v>0</v>
      </c>
      <c r="H13" s="12"/>
      <c r="I13" s="54">
        <f>N13+0.0001*O13+0.0000001*M13+0.0000000001*L13</f>
        <v>245.70000839810001</v>
      </c>
      <c r="J13" s="52" t="str">
        <f>'M Q'!P13</f>
        <v>NICOLLET Léa</v>
      </c>
      <c r="K13" s="52">
        <f>'M Q'!Q13</f>
        <v>80.8</v>
      </c>
      <c r="L13" s="52">
        <f>'M Q'!R13</f>
        <v>81</v>
      </c>
      <c r="M13" s="52">
        <f>'M Q'!S13</f>
        <v>83.9</v>
      </c>
      <c r="N13" s="52">
        <f>'M Q'!T13</f>
        <v>245.70000000000002</v>
      </c>
      <c r="O13" s="52">
        <f>'M Q'!U13</f>
        <v>0</v>
      </c>
    </row>
    <row r="14" spans="1:15" ht="22.05" customHeight="1">
      <c r="A14" s="54">
        <f>F14+0.0001*G14+0.0000001*E14+0.0000000001*D14</f>
        <v>277.20000947913002</v>
      </c>
      <c r="B14" s="52" t="str">
        <f>'M Q'!V8</f>
        <v>DURAND Juliette</v>
      </c>
      <c r="C14" s="51">
        <f>'M Q'!W8</f>
        <v>91.2</v>
      </c>
      <c r="D14" s="51">
        <f>'M Q'!X8</f>
        <v>91.3</v>
      </c>
      <c r="E14" s="51">
        <f>'M Q'!Y8</f>
        <v>94.7</v>
      </c>
      <c r="F14" s="51">
        <f>'M Q'!Z8</f>
        <v>277.2</v>
      </c>
      <c r="G14" s="51">
        <f>'M Q'!AA8</f>
        <v>0</v>
      </c>
      <c r="H14" s="12"/>
      <c r="I14" s="54">
        <f>N14+0.0001*O14+0.0000001*M14+0.0000000001*L14</f>
        <v>236.70000750757001</v>
      </c>
      <c r="J14" s="52" t="str">
        <f>'M Q'!V13</f>
        <v>DESCHANEL Timéo</v>
      </c>
      <c r="K14" s="52">
        <f>'M Q'!W13</f>
        <v>86</v>
      </c>
      <c r="L14" s="52">
        <f>'M Q'!X13</f>
        <v>75.7</v>
      </c>
      <c r="M14" s="52">
        <f>'M Q'!Y13</f>
        <v>75</v>
      </c>
      <c r="N14" s="52">
        <f>'M Q'!Z13</f>
        <v>236.7</v>
      </c>
      <c r="O14" s="52">
        <f>'M Q'!AA13</f>
        <v>0</v>
      </c>
    </row>
    <row r="15" spans="1:15" ht="22.05" customHeight="1">
      <c r="A15" s="54">
        <f>F15+0.0001*G15+0.0000001*E15+0.0000000001*D15</f>
        <v>288.80000971996992</v>
      </c>
      <c r="B15" s="52" t="str">
        <f>'M Q'!AB8</f>
        <v>STEINER Julien</v>
      </c>
      <c r="C15" s="51">
        <f>'M Q'!AC8</f>
        <v>92</v>
      </c>
      <c r="D15" s="51">
        <f>'M Q'!AD8</f>
        <v>99.7</v>
      </c>
      <c r="E15" s="51">
        <f>'M Q'!AE8</f>
        <v>97.1</v>
      </c>
      <c r="F15" s="51">
        <f>'M Q'!AF8</f>
        <v>288.79999999999995</v>
      </c>
      <c r="G15" s="51">
        <f>'M Q'!AG8</f>
        <v>0</v>
      </c>
      <c r="H15" s="12"/>
      <c r="I15" s="54">
        <f>N15+0.0001*O15+0.0000001*M15+0.0000000001*L15</f>
        <v>241.70000748824998</v>
      </c>
      <c r="J15" s="52" t="str">
        <f>'M Q'!AB13</f>
        <v>LEONARD Matias</v>
      </c>
      <c r="K15" s="52">
        <f>'M Q'!AC13</f>
        <v>84.4</v>
      </c>
      <c r="L15" s="52">
        <f>'M Q'!AD13</f>
        <v>82.5</v>
      </c>
      <c r="M15" s="52">
        <f>'M Q'!AE13</f>
        <v>74.8</v>
      </c>
      <c r="N15" s="52">
        <f>'M Q'!AF13</f>
        <v>241.7</v>
      </c>
      <c r="O15" s="52">
        <f>'M Q'!AG13</f>
        <v>0</v>
      </c>
    </row>
    <row r="16" spans="1:15" ht="22.0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05" customHeight="1">
      <c r="A17" s="51"/>
      <c r="B17" s="52" t="str">
        <f>IF(INFO!B8&gt;2,"CLUB N°3","")</f>
        <v>CLUB N°3</v>
      </c>
      <c r="C17" s="52" t="str">
        <f>'M Q'!B9</f>
        <v>STBB</v>
      </c>
      <c r="D17" s="52"/>
      <c r="E17" s="52"/>
      <c r="F17" s="51">
        <f>'M Q'!AH9</f>
        <v>1397.8000000000002</v>
      </c>
      <c r="G17" s="51"/>
      <c r="H17" s="12"/>
      <c r="I17" s="51"/>
      <c r="J17" s="52" t="str">
        <f>IF(INFO!B8&gt;5,"CLUB N°6","")</f>
        <v>CLUB N°6</v>
      </c>
      <c r="K17" s="52" t="str">
        <f>'M Q'!B12</f>
        <v>ALAT</v>
      </c>
      <c r="L17" s="52"/>
      <c r="M17" s="52"/>
      <c r="N17" s="51">
        <f>'M Q'!AH12</f>
        <v>1327.6000000000001</v>
      </c>
      <c r="O17" s="52"/>
    </row>
    <row r="18" spans="1:15" ht="22.0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05" customHeight="1">
      <c r="A19" s="55">
        <f>F19+0.0001*G19+0.0000001*E19+0.0000000001*D19</f>
        <v>295.20000978995</v>
      </c>
      <c r="B19" s="52" t="str">
        <f>'M Q'!D9</f>
        <v>LACROIX Lauriane</v>
      </c>
      <c r="C19" s="51">
        <f>'M Q'!E9</f>
        <v>97.9</v>
      </c>
      <c r="D19" s="51">
        <f>'M Q'!F9</f>
        <v>99.5</v>
      </c>
      <c r="E19" s="51">
        <f>'M Q'!G9</f>
        <v>97.8</v>
      </c>
      <c r="F19" s="51">
        <f>'M Q'!H9</f>
        <v>295.2</v>
      </c>
      <c r="G19" s="51">
        <f>'M Q'!I9</f>
        <v>0</v>
      </c>
      <c r="H19" s="12"/>
      <c r="I19" s="54">
        <f>N19+0.0001*O19+0.0000001*M19+0.0000000001*L19</f>
        <v>267.20000919897006</v>
      </c>
      <c r="J19" s="52" t="str">
        <f>'M Q'!D12</f>
        <v>FORGE Mathys</v>
      </c>
      <c r="K19" s="52">
        <f>'M Q'!E12</f>
        <v>85.6</v>
      </c>
      <c r="L19" s="52">
        <f>'M Q'!F12</f>
        <v>89.7</v>
      </c>
      <c r="M19" s="52">
        <f>'M Q'!G12</f>
        <v>91.9</v>
      </c>
      <c r="N19" s="52">
        <f>'M Q'!H12</f>
        <v>267.20000000000005</v>
      </c>
      <c r="O19" s="52">
        <f>'M Q'!I12</f>
        <v>0</v>
      </c>
    </row>
    <row r="20" spans="1:15" ht="22.05" customHeight="1">
      <c r="A20" s="55">
        <f>F20+0.0001*G20+0.0000001*E20+0.0000000001*D20</f>
        <v>286.00000950980996</v>
      </c>
      <c r="B20" s="52" t="str">
        <f>'M Q'!J9</f>
        <v>VENET Léna</v>
      </c>
      <c r="C20" s="51">
        <f>'M Q'!K9</f>
        <v>92.9</v>
      </c>
      <c r="D20" s="51">
        <f>'M Q'!L9</f>
        <v>98.1</v>
      </c>
      <c r="E20" s="51">
        <f>'M Q'!M9</f>
        <v>95</v>
      </c>
      <c r="F20" s="51">
        <f>'M Q'!N9</f>
        <v>286</v>
      </c>
      <c r="G20" s="51">
        <f>'M Q'!O9</f>
        <v>0</v>
      </c>
      <c r="H20" s="12"/>
      <c r="I20" s="54">
        <f>N20+0.0001*O20+0.0000001*M20+0.0000000001*L20</f>
        <v>239.30000816773997</v>
      </c>
      <c r="J20" s="52" t="str">
        <f>'M Q'!J12</f>
        <v>CHAIZE Arthur</v>
      </c>
      <c r="K20" s="52">
        <f>'M Q'!K12</f>
        <v>80.3</v>
      </c>
      <c r="L20" s="52">
        <f>'M Q'!L12</f>
        <v>77.400000000000006</v>
      </c>
      <c r="M20" s="52">
        <f>'M Q'!M12</f>
        <v>81.599999999999994</v>
      </c>
      <c r="N20" s="52">
        <f>'M Q'!N12</f>
        <v>239.29999999999998</v>
      </c>
      <c r="O20" s="52">
        <f>'M Q'!O12</f>
        <v>0</v>
      </c>
    </row>
    <row r="21" spans="1:15" ht="22.05" customHeight="1">
      <c r="A21" s="55">
        <f>F21+0.0001*G21+0.0000001*E21+0.0000000001*D21</f>
        <v>222.50000796767998</v>
      </c>
      <c r="B21" s="52" t="str">
        <f>'M Q'!P9</f>
        <v>VENET Eric</v>
      </c>
      <c r="C21" s="51">
        <f>'M Q'!Q9</f>
        <v>66.099999999999994</v>
      </c>
      <c r="D21" s="51">
        <f>'M Q'!R9</f>
        <v>76.8</v>
      </c>
      <c r="E21" s="51">
        <f>'M Q'!S9</f>
        <v>79.599999999999994</v>
      </c>
      <c r="F21" s="51">
        <f>'M Q'!T9</f>
        <v>222.49999999999997</v>
      </c>
      <c r="G21" s="51">
        <f>'M Q'!U9</f>
        <v>0</v>
      </c>
      <c r="H21" s="12"/>
      <c r="I21" s="54">
        <f>N21+0.0001*O21+0.0000001*M21+0.0000000001*L21</f>
        <v>295.20000971984001</v>
      </c>
      <c r="J21" s="52" t="str">
        <f>'M Q'!P12</f>
        <v>MAYOT Tiphaine</v>
      </c>
      <c r="K21" s="52">
        <f>'M Q'!Q12</f>
        <v>99.7</v>
      </c>
      <c r="L21" s="52">
        <f>'M Q'!R12</f>
        <v>98.4</v>
      </c>
      <c r="M21" s="52">
        <f>'M Q'!S12</f>
        <v>97.1</v>
      </c>
      <c r="N21" s="52">
        <f>'M Q'!T12</f>
        <v>295.20000000000005</v>
      </c>
      <c r="O21" s="52">
        <f>'M Q'!U12</f>
        <v>0</v>
      </c>
    </row>
    <row r="22" spans="1:15" ht="22.05" customHeight="1">
      <c r="A22" s="55">
        <f>F22+0.0001*G22+0.0000001*E22+0.0000000001*D22</f>
        <v>290.20000952970997</v>
      </c>
      <c r="B22" s="52" t="str">
        <f>'M Q'!V9</f>
        <v>DHONT Hugo</v>
      </c>
      <c r="C22" s="51">
        <f>'M Q'!W9</f>
        <v>97.9</v>
      </c>
      <c r="D22" s="51">
        <f>'M Q'!X9</f>
        <v>97.1</v>
      </c>
      <c r="E22" s="51">
        <f>'M Q'!Y9</f>
        <v>95.2</v>
      </c>
      <c r="F22" s="51">
        <f>'M Q'!Z9</f>
        <v>290.2</v>
      </c>
      <c r="G22" s="51">
        <f>'M Q'!AA9</f>
        <v>0</v>
      </c>
      <c r="H22" s="12"/>
      <c r="I22" s="54">
        <f>N22+0.0001*O22+0.0000001*M22+0.0000000001*L22</f>
        <v>251.60000837920001</v>
      </c>
      <c r="J22" s="52" t="str">
        <f>'M Q'!V12</f>
        <v>MAZILLE Axelle</v>
      </c>
      <c r="K22" s="52">
        <f>'M Q'!W12</f>
        <v>75.900000000000006</v>
      </c>
      <c r="L22" s="52">
        <f>'M Q'!X12</f>
        <v>92</v>
      </c>
      <c r="M22" s="52">
        <f>'M Q'!Y12</f>
        <v>83.7</v>
      </c>
      <c r="N22" s="52">
        <f>'M Q'!Z12</f>
        <v>251.60000000000002</v>
      </c>
      <c r="O22" s="52">
        <f>'M Q'!AA12</f>
        <v>0</v>
      </c>
    </row>
    <row r="23" spans="1:15" ht="22.05" customHeight="1">
      <c r="A23" s="55">
        <f>F23+0.0001*G23+0.0000001*E23+0.0000000001*D23</f>
        <v>303.90001005022998</v>
      </c>
      <c r="B23" s="52" t="str">
        <f>'M Q'!AB9</f>
        <v>MARAIS Alexis</v>
      </c>
      <c r="C23" s="51">
        <f>'M Q'!AC9</f>
        <v>101.2</v>
      </c>
      <c r="D23" s="51">
        <f>'M Q'!AD9</f>
        <v>102.3</v>
      </c>
      <c r="E23" s="51">
        <f>'M Q'!AE9</f>
        <v>100.4</v>
      </c>
      <c r="F23" s="51">
        <f>'M Q'!AF9</f>
        <v>303.89999999999998</v>
      </c>
      <c r="G23" s="51">
        <f>'M Q'!AG9</f>
        <v>0</v>
      </c>
      <c r="H23" s="12"/>
      <c r="I23" s="54">
        <f>N23+0.0001*O23+0.0000001*M23+0.0000000001*L23</f>
        <v>274.30000952894</v>
      </c>
      <c r="J23" s="52" t="str">
        <f>'M Q'!AB12</f>
        <v>LAUNAY Aloïs</v>
      </c>
      <c r="K23" s="52">
        <f>'M Q'!AC12</f>
        <v>89.7</v>
      </c>
      <c r="L23" s="52">
        <f>'M Q'!AD12</f>
        <v>89.4</v>
      </c>
      <c r="M23" s="52">
        <f>'M Q'!AE12</f>
        <v>95.2</v>
      </c>
      <c r="N23" s="52">
        <f>'M Q'!AF12</f>
        <v>274.3</v>
      </c>
      <c r="O23" s="52">
        <f>'M Q'!AG12</f>
        <v>0</v>
      </c>
    </row>
    <row r="24" spans="1:15" ht="22.0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05" customHeight="1">
      <c r="A25" s="51"/>
      <c r="B25" s="52" t="str">
        <f>IF(INFO!B8&gt;3,"CLUB N°4","")</f>
        <v>CLUB N°4</v>
      </c>
      <c r="C25" s="52" t="str">
        <f>'M Q'!B10</f>
        <v>CTB</v>
      </c>
      <c r="D25" s="52"/>
      <c r="E25" s="52"/>
      <c r="F25" s="51">
        <f>'M Q'!AH10</f>
        <v>1390.9</v>
      </c>
      <c r="G25" s="51"/>
      <c r="H25" s="12"/>
      <c r="I25" s="51"/>
      <c r="J25" s="52" t="str">
        <f>IF(INFO!B8&gt;4,"CLUB N°5","")</f>
        <v>CLUB N°5</v>
      </c>
      <c r="K25" s="52" t="str">
        <f>'M Q'!B11</f>
        <v>USO</v>
      </c>
      <c r="L25" s="52"/>
      <c r="M25" s="52"/>
      <c r="N25" s="51">
        <f>'M Q'!AH11</f>
        <v>1329.2</v>
      </c>
      <c r="O25" s="52"/>
    </row>
    <row r="26" spans="1:15" ht="22.0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05" customHeight="1">
      <c r="A27" s="54">
        <f>F27+0.0001*G27+0.0000001*E27+0.0000000001*D27</f>
        <v>274.90000946915001</v>
      </c>
      <c r="B27" s="52" t="str">
        <f>'M Q'!D10</f>
        <v>DUPERRAI LAINE Eliott</v>
      </c>
      <c r="C27" s="51">
        <f>'M Q'!E10</f>
        <v>88.8</v>
      </c>
      <c r="D27" s="51">
        <f>'M Q'!F10</f>
        <v>91.5</v>
      </c>
      <c r="E27" s="51">
        <f>'M Q'!G10</f>
        <v>94.6</v>
      </c>
      <c r="F27" s="51">
        <f>'M Q'!H10</f>
        <v>274.89999999999998</v>
      </c>
      <c r="G27" s="51">
        <f>'M Q'!I10</f>
        <v>0</v>
      </c>
      <c r="H27" s="12"/>
      <c r="I27" s="54">
        <f>N27+0.0001*O27+0.0000001*M27+0.0000000001*L27</f>
        <v>255.60000852855001</v>
      </c>
      <c r="J27" s="52" t="str">
        <f>'M Q'!D11</f>
        <v>BEAUME Didier</v>
      </c>
      <c r="K27" s="52">
        <f>'M Q'!E11</f>
        <v>84.9</v>
      </c>
      <c r="L27" s="52">
        <f>'M Q'!F11</f>
        <v>85.5</v>
      </c>
      <c r="M27" s="52">
        <f>'M Q'!G11</f>
        <v>85.2</v>
      </c>
      <c r="N27" s="52">
        <f>'M Q'!H11</f>
        <v>255.60000000000002</v>
      </c>
      <c r="O27" s="52">
        <f>'M Q'!I11</f>
        <v>0</v>
      </c>
    </row>
    <row r="28" spans="1:15" ht="22.05" customHeight="1">
      <c r="A28" s="54">
        <f>F28+0.0001*G28+0.0000001*E28+0.0000000001*D28</f>
        <v>248.90000830870997</v>
      </c>
      <c r="B28" s="52" t="str">
        <f>'M Q'!J10</f>
        <v>CORREAUD André</v>
      </c>
      <c r="C28" s="51">
        <f>'M Q'!K10</f>
        <v>78.8</v>
      </c>
      <c r="D28" s="51">
        <f>'M Q'!L10</f>
        <v>87.1</v>
      </c>
      <c r="E28" s="51">
        <f>'M Q'!M10</f>
        <v>83</v>
      </c>
      <c r="F28" s="51">
        <f>'M Q'!N10</f>
        <v>248.89999999999998</v>
      </c>
      <c r="G28" s="51">
        <f>'M Q'!O10</f>
        <v>0</v>
      </c>
      <c r="H28" s="12"/>
      <c r="I28" s="54">
        <f>N28+0.0001*O28+0.0000001*M28+0.0000000001*L28</f>
        <v>269.80000947892</v>
      </c>
      <c r="J28" s="52" t="str">
        <f>'M Q'!J11</f>
        <v>BEAUME Célia</v>
      </c>
      <c r="K28" s="52">
        <f>'M Q'!K11</f>
        <v>85.9</v>
      </c>
      <c r="L28" s="52">
        <f>'M Q'!L11</f>
        <v>89.2</v>
      </c>
      <c r="M28" s="52">
        <f>'M Q'!M11</f>
        <v>94.7</v>
      </c>
      <c r="N28" s="52">
        <f>'M Q'!N11</f>
        <v>269.8</v>
      </c>
      <c r="O28" s="52">
        <f>'M Q'!O11</f>
        <v>0</v>
      </c>
    </row>
    <row r="29" spans="1:15" ht="22.05" customHeight="1">
      <c r="A29" s="54">
        <f>F29+0.0001*G29+0.0000001*E29+0.0000000001*D29</f>
        <v>279.90000967925999</v>
      </c>
      <c r="B29" s="52" t="str">
        <f>'M Q'!P10</f>
        <v>JOUSSERAND-MORNAY Alice</v>
      </c>
      <c r="C29" s="51">
        <f>'M Q'!Q10</f>
        <v>90.6</v>
      </c>
      <c r="D29" s="51">
        <f>'M Q'!R10</f>
        <v>92.6</v>
      </c>
      <c r="E29" s="51">
        <f>'M Q'!S10</f>
        <v>96.7</v>
      </c>
      <c r="F29" s="51">
        <f>'M Q'!T10</f>
        <v>279.89999999999998</v>
      </c>
      <c r="G29" s="51">
        <f>'M Q'!U10</f>
        <v>0</v>
      </c>
      <c r="H29" s="12"/>
      <c r="I29" s="54">
        <f>N29+0.0001*O29+0.0000001*M29+0.0000000001*L29</f>
        <v>280.40000957942993</v>
      </c>
      <c r="J29" s="52" t="str">
        <f>'M Q'!P11</f>
        <v>LANDIM MONTEIRO Frédérique</v>
      </c>
      <c r="K29" s="52">
        <f>'M Q'!Q11</f>
        <v>90.4</v>
      </c>
      <c r="L29" s="52">
        <f>'M Q'!R11</f>
        <v>94.3</v>
      </c>
      <c r="M29" s="52">
        <f>'M Q'!S11</f>
        <v>95.7</v>
      </c>
      <c r="N29" s="52">
        <f>'M Q'!T11</f>
        <v>280.39999999999998</v>
      </c>
      <c r="O29" s="52">
        <f>'M Q'!U11</f>
        <v>0</v>
      </c>
    </row>
    <row r="30" spans="1:15" ht="22.05" customHeight="1">
      <c r="A30" s="54">
        <f>F30+0.0001*G30+0.0000001*E30+0.0000000001*D30</f>
        <v>293.80000999989005</v>
      </c>
      <c r="B30" s="52" t="str">
        <f>'M Q'!V10</f>
        <v>RAUNIER Aurore</v>
      </c>
      <c r="C30" s="51">
        <f>'M Q'!W10</f>
        <v>95</v>
      </c>
      <c r="D30" s="51">
        <f>'M Q'!X10</f>
        <v>98.9</v>
      </c>
      <c r="E30" s="51">
        <f>'M Q'!Y10</f>
        <v>99.9</v>
      </c>
      <c r="F30" s="51">
        <f>'M Q'!Z10</f>
        <v>293.8</v>
      </c>
      <c r="G30" s="51">
        <f>'M Q'!AA10</f>
        <v>0</v>
      </c>
      <c r="H30" s="12"/>
      <c r="I30" s="54">
        <f>N30+0.0001*O30+0.0000001*M30+0.0000000001*L30</f>
        <v>264.90000931906997</v>
      </c>
      <c r="J30" s="52" t="str">
        <f>'M Q'!V11</f>
        <v>VEIL Guillaume</v>
      </c>
      <c r="K30" s="52">
        <f>'M Q'!W11</f>
        <v>81.099999999999994</v>
      </c>
      <c r="L30" s="52">
        <f>'M Q'!X11</f>
        <v>90.7</v>
      </c>
      <c r="M30" s="52">
        <f>'M Q'!Y11</f>
        <v>93.1</v>
      </c>
      <c r="N30" s="52">
        <f>'M Q'!Z11</f>
        <v>264.89999999999998</v>
      </c>
      <c r="O30" s="52">
        <f>'M Q'!AA11</f>
        <v>0</v>
      </c>
    </row>
    <row r="31" spans="1:15" ht="22.05" customHeight="1">
      <c r="A31" s="54">
        <f>F31+0.0001*G31+0.0000001*E31+0.0000000001*D31</f>
        <v>293.40000994972996</v>
      </c>
      <c r="B31" s="52" t="str">
        <f>'M Q'!AB10</f>
        <v>KICHENAMA Raphaël</v>
      </c>
      <c r="C31" s="51">
        <f>'M Q'!AC10</f>
        <v>96.7</v>
      </c>
      <c r="D31" s="51">
        <f>'M Q'!AD10</f>
        <v>97.3</v>
      </c>
      <c r="E31" s="51">
        <f>'M Q'!AE10</f>
        <v>99.4</v>
      </c>
      <c r="F31" s="51">
        <f>'M Q'!AF10</f>
        <v>293.39999999999998</v>
      </c>
      <c r="G31" s="51">
        <f>'M Q'!AG10</f>
        <v>0</v>
      </c>
      <c r="H31" s="12"/>
      <c r="I31" s="54">
        <f>N31+0.0001*O31+0.0000001*M31+0.0000000001*L31</f>
        <v>258.50000852874001</v>
      </c>
      <c r="J31" s="52" t="str">
        <f>'M Q'!AB11</f>
        <v>VEIL Amaury</v>
      </c>
      <c r="K31" s="52">
        <f>'M Q'!AC11</f>
        <v>85.9</v>
      </c>
      <c r="L31" s="52">
        <f>'M Q'!AD11</f>
        <v>87.4</v>
      </c>
      <c r="M31" s="52">
        <f>'M Q'!AE11</f>
        <v>85.2</v>
      </c>
      <c r="N31" s="52">
        <f>'M Q'!AF11</f>
        <v>258.5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tabSelected="1" zoomScale="70" zoomScaleNormal="7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" customWidth="1"/>
    <col min="2" max="2" width="25.6328125" style="1" customWidth="1"/>
    <col min="3" max="5" width="10.8164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81640625" style="1"/>
  </cols>
  <sheetData>
    <row r="1" spans="1:14" ht="49.95" customHeight="1" thickBot="1">
      <c r="A1" s="171"/>
      <c r="B1" s="253" t="s">
        <v>29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71"/>
      <c r="N1" s="171"/>
    </row>
    <row r="2" spans="1:14" ht="22.05" customHeight="1" thickBot="1">
      <c r="A2" s="12"/>
      <c r="B2" s="172" t="s">
        <v>14</v>
      </c>
      <c r="C2" s="254" t="str">
        <f>'Clb Q (2)'!C1</f>
        <v>SEST</v>
      </c>
      <c r="D2" s="255"/>
      <c r="E2" s="255"/>
      <c r="F2" s="173">
        <f>'Clb Q (2)'!F1</f>
        <v>1467.6999999999998</v>
      </c>
      <c r="G2" s="12"/>
      <c r="H2" s="174" t="str">
        <f>IF(INFO!B8&gt;7,"CLUB N°8","")</f>
        <v>CLUB N°8</v>
      </c>
      <c r="I2" s="254" t="str">
        <f>IF(INFO!B8&gt;7,'Clb Q (2)'!K1,"")</f>
        <v>CTPS</v>
      </c>
      <c r="J2" s="255"/>
      <c r="K2" s="255"/>
      <c r="L2" s="173">
        <f>IF(INFO!B8&gt;7,'Clb Q (2)'!N1,"")</f>
        <v>1095</v>
      </c>
      <c r="M2" s="12"/>
    </row>
    <row r="3" spans="1:14" ht="22.05" customHeight="1" thickBot="1">
      <c r="A3" s="175"/>
      <c r="B3" s="174" t="s">
        <v>15</v>
      </c>
      <c r="C3" s="176" t="s">
        <v>16</v>
      </c>
      <c r="D3" s="177" t="s">
        <v>33</v>
      </c>
      <c r="E3" s="178" t="s">
        <v>35</v>
      </c>
      <c r="F3" s="174" t="s">
        <v>36</v>
      </c>
      <c r="G3" s="12"/>
      <c r="H3" s="174" t="s">
        <v>15</v>
      </c>
      <c r="I3" s="176" t="s">
        <v>16</v>
      </c>
      <c r="J3" s="177" t="s">
        <v>33</v>
      </c>
      <c r="K3" s="178" t="s">
        <v>35</v>
      </c>
      <c r="L3" s="174" t="s">
        <v>36</v>
      </c>
      <c r="M3" s="12"/>
    </row>
    <row r="4" spans="1:14" ht="22.05" customHeight="1">
      <c r="A4" s="175"/>
      <c r="B4" s="179" t="str">
        <f>VLOOKUP(F4,'Clb Q (2)'!A$3:G$7,2,0)</f>
        <v>BONELLI Angéline</v>
      </c>
      <c r="C4" s="180">
        <f>VLOOKUP(F4,'Clb Q (2)'!A$3:G$7,3,0)</f>
        <v>98.7</v>
      </c>
      <c r="D4" s="181">
        <f>VLOOKUP(F4,'Clb Q (2)'!A$3:G$7,4,0)</f>
        <v>99.8</v>
      </c>
      <c r="E4" s="182">
        <f>VLOOKUP(F4,'Clb Q (2)'!A$3:G$7,5,0)</f>
        <v>100.4</v>
      </c>
      <c r="F4" s="179">
        <f>LARGE('Clb Q (2)'!A$3:A$7,1)</f>
        <v>298.90001004997998</v>
      </c>
      <c r="G4" s="12"/>
      <c r="H4" s="179" t="str">
        <f>IF(INFO!B$8&gt;7,VLOOKUP(L4,'Clb Q (2)'!I$3:O$7,2,0),"")</f>
        <v>DIAS Erwann</v>
      </c>
      <c r="I4" s="180">
        <f>IF(INFO!B$8&gt;7,VLOOKUP(L4,'Clb Q (2)'!I$3:O$7,3,0),"")</f>
        <v>81.5</v>
      </c>
      <c r="J4" s="181">
        <f>IF(INFO!B$8&gt;7,VLOOKUP(L4,'Clb Q (2)'!I$3:O$7,4,0),"")</f>
        <v>87.9</v>
      </c>
      <c r="K4" s="182">
        <f>IF(INFO!B$8&gt;7,VLOOKUP(L4,'Clb Q (2)'!I$3:O$7,5,0),"")</f>
        <v>93.1</v>
      </c>
      <c r="L4" s="179">
        <f>IF(INFO!B$8&gt;7,LARGE('Clb Q (2)'!I$3:I$7,1),"")</f>
        <v>262.50000931878998</v>
      </c>
      <c r="M4" s="12"/>
    </row>
    <row r="5" spans="1:14" ht="22.05" customHeight="1">
      <c r="A5" s="175"/>
      <c r="B5" s="179" t="str">
        <f>VLOOKUP(F5,'Clb Q (2)'!A$3:G$7,2,0)</f>
        <v>QUINSON Françoise</v>
      </c>
      <c r="C5" s="180">
        <f>VLOOKUP(F5,'Clb Q (2)'!A$3:G$7,3,0)</f>
        <v>95.8</v>
      </c>
      <c r="D5" s="181">
        <f>VLOOKUP(F5,'Clb Q (2)'!A$3:G$7,4,0)</f>
        <v>98.7</v>
      </c>
      <c r="E5" s="182">
        <f>VLOOKUP(F5,'Clb Q (2)'!A$3:G$7,5,0)</f>
        <v>98.6</v>
      </c>
      <c r="F5" s="179">
        <f>LARGE('Clb Q (2)'!A$3:A$7,2)</f>
        <v>293.10000986987001</v>
      </c>
      <c r="G5" s="12"/>
      <c r="H5" s="179" t="str">
        <f>IF(INFO!B$8&gt;7,VLOOKUP(L5,'Clb Q (2)'!I$3:O$7,2,0),"")</f>
        <v>PÈRE Laurent</v>
      </c>
      <c r="I5" s="180">
        <f>IF(INFO!B$8&gt;7,VLOOKUP(L5,'Clb Q (2)'!I$3:O$7,3,0),"")</f>
        <v>79.3</v>
      </c>
      <c r="J5" s="181">
        <f>IF(INFO!B$8&gt;7,VLOOKUP(L5,'Clb Q (2)'!I$3:O$7,4,0),"")</f>
        <v>73.599999999999994</v>
      </c>
      <c r="K5" s="182">
        <f>IF(INFO!B$8&gt;7,VLOOKUP(L5,'Clb Q (2)'!I$3:O$7,5,0),"")</f>
        <v>79.599999999999994</v>
      </c>
      <c r="L5" s="179">
        <f>IF(INFO!B$8&gt;7,LARGE('Clb Q (2)'!I$3:I$7,2),"")</f>
        <v>232.50000796735998</v>
      </c>
      <c r="M5" s="12"/>
    </row>
    <row r="6" spans="1:14" ht="22.05" customHeight="1">
      <c r="A6" s="175"/>
      <c r="B6" s="179" t="str">
        <f>VLOOKUP(F6,'Clb Q (2)'!A$3:G$7,2,0)</f>
        <v>PACORET Hugo</v>
      </c>
      <c r="C6" s="180">
        <f>VLOOKUP(F6,'Clb Q (2)'!A$3:G$7,3,0)</f>
        <v>97.5</v>
      </c>
      <c r="D6" s="181">
        <f>VLOOKUP(F6,'Clb Q (2)'!A$3:G$7,4,0)</f>
        <v>97.8</v>
      </c>
      <c r="E6" s="182">
        <f>VLOOKUP(F6,'Clb Q (2)'!A$3:G$7,5,0)</f>
        <v>97.5</v>
      </c>
      <c r="F6" s="179">
        <f>LARGE('Clb Q (2)'!A$3:A$7,3)</f>
        <v>292.80000975978004</v>
      </c>
      <c r="G6" s="12"/>
      <c r="H6" s="179" t="str">
        <f>IF(INFO!B$8&gt;7,VLOOKUP(L6,'Clb Q (2)'!I$3:O$7,2,0),"")</f>
        <v>DUQUENOIS Christophe</v>
      </c>
      <c r="I6" s="180">
        <f>IF(INFO!B$8&gt;7,VLOOKUP(L6,'Clb Q (2)'!I$3:O$7,3,0),"")</f>
        <v>76.5</v>
      </c>
      <c r="J6" s="181">
        <f>IF(INFO!B$8&gt;7,VLOOKUP(L6,'Clb Q (2)'!I$3:O$7,4,0),"")</f>
        <v>79.400000000000006</v>
      </c>
      <c r="K6" s="182">
        <f>IF(INFO!B$8&gt;7,VLOOKUP(L6,'Clb Q (2)'!I$3:O$7,5,0),"")</f>
        <v>68</v>
      </c>
      <c r="L6" s="179">
        <f>IF(INFO!B$8&gt;7,LARGE('Clb Q (2)'!I$3:I$7,3),"")</f>
        <v>223.90000680794</v>
      </c>
      <c r="M6" s="12"/>
    </row>
    <row r="7" spans="1:14" ht="22.05" customHeight="1">
      <c r="A7" s="175"/>
      <c r="B7" s="179" t="str">
        <f>VLOOKUP(F7,'Clb Q (2)'!A$3:G$7,2,0)</f>
        <v>COTTEL Agnès</v>
      </c>
      <c r="C7" s="180">
        <f>VLOOKUP(F7,'Clb Q (2)'!A$3:G$7,3,0)</f>
        <v>95.9</v>
      </c>
      <c r="D7" s="181">
        <f>VLOOKUP(F7,'Clb Q (2)'!A$3:G$7,4,0)</f>
        <v>98</v>
      </c>
      <c r="E7" s="182">
        <f>VLOOKUP(F7,'Clb Q (2)'!A$3:G$7,5,0)</f>
        <v>98</v>
      </c>
      <c r="F7" s="179">
        <f>LARGE('Clb Q (2)'!A$3:A$7,4)</f>
        <v>291.90000980979994</v>
      </c>
      <c r="G7" s="12"/>
      <c r="H7" s="179" t="str">
        <f>IF(INFO!B$8&gt;7,VLOOKUP(L7,'Clb Q (2)'!I$3:O$7,2,0),"")</f>
        <v>BEAL Bruno</v>
      </c>
      <c r="I7" s="180">
        <f>IF(INFO!B$8&gt;7,VLOOKUP(L7,'Clb Q (2)'!I$3:O$7,3,0),"")</f>
        <v>60.1</v>
      </c>
      <c r="J7" s="181">
        <f>IF(INFO!B$8&gt;7,VLOOKUP(L7,'Clb Q (2)'!I$3:O$7,4,0),"")</f>
        <v>66.8</v>
      </c>
      <c r="K7" s="182">
        <f>IF(INFO!B$8&gt;7,VLOOKUP(L7,'Clb Q (2)'!I$3:O$7,5,0),"")</f>
        <v>67</v>
      </c>
      <c r="L7" s="179">
        <f>IF(INFO!B$8&gt;7,LARGE('Clb Q (2)'!I$3:I$7,4),"")</f>
        <v>193.90000670668002</v>
      </c>
      <c r="M7" s="12"/>
    </row>
    <row r="8" spans="1:14" ht="22.05" customHeight="1" thickBot="1">
      <c r="A8" s="175"/>
      <c r="B8" s="183" t="str">
        <f>VLOOKUP(F8,'Clb Q (2)'!A$3:G$7,2,0)</f>
        <v>DELAYE Olivier</v>
      </c>
      <c r="C8" s="184">
        <f>VLOOKUP(F8,'Clb Q (2)'!A$3:G$7,3,0)</f>
        <v>91.5</v>
      </c>
      <c r="D8" s="185">
        <f>VLOOKUP(F8,'Clb Q (2)'!A$3:G$7,4,0)</f>
        <v>98.3</v>
      </c>
      <c r="E8" s="186">
        <f>VLOOKUP(F8,'Clb Q (2)'!A$3:G$7,5,0)</f>
        <v>101.2</v>
      </c>
      <c r="F8" s="183">
        <f>LARGE('Clb Q (2)'!A$3:A$7,5)</f>
        <v>291.00001012983</v>
      </c>
      <c r="G8" s="12"/>
      <c r="H8" s="183" t="str">
        <f>IF(INFO!B$8&gt;7,VLOOKUP(L8,'Clb Q (2)'!I$3:O$7,2,0),"")</f>
        <v>DURIEUX Patrick</v>
      </c>
      <c r="I8" s="184">
        <f>IF(INFO!B$8&gt;7,VLOOKUP(L8,'Clb Q (2)'!I$3:O$7,3,0),"")</f>
        <v>69.5</v>
      </c>
      <c r="J8" s="185">
        <f>IF(INFO!B$8&gt;7,VLOOKUP(L8,'Clb Q (2)'!I$3:O$7,4,0),"")</f>
        <v>50.8</v>
      </c>
      <c r="K8" s="186">
        <f>IF(INFO!B$8&gt;7,VLOOKUP(L8,'Clb Q (2)'!I$3:O$7,5,0),"")</f>
        <v>61.9</v>
      </c>
      <c r="L8" s="183">
        <f>IF(INFO!B$8&gt;7,LARGE('Clb Q (2)'!I$3:I$7,5),"")</f>
        <v>182.20000619507999</v>
      </c>
      <c r="M8" s="12"/>
    </row>
    <row r="9" spans="1:14" ht="22.05" customHeight="1" thickBot="1">
      <c r="A9" s="12"/>
      <c r="B9" s="187"/>
      <c r="C9" s="12"/>
      <c r="D9" s="12"/>
      <c r="E9" s="12"/>
      <c r="F9" s="187"/>
      <c r="G9" s="12"/>
      <c r="H9" s="187"/>
      <c r="I9" s="12"/>
      <c r="J9" s="12"/>
      <c r="K9" s="12"/>
      <c r="L9" s="187"/>
      <c r="M9" s="12"/>
    </row>
    <row r="10" spans="1:14" ht="22.05" customHeight="1" thickBot="1">
      <c r="A10" s="12"/>
      <c r="B10" s="174" t="s">
        <v>37</v>
      </c>
      <c r="C10" s="254" t="str">
        <f>'Clb Q (2)'!C9</f>
        <v>STSM</v>
      </c>
      <c r="D10" s="255"/>
      <c r="E10" s="255"/>
      <c r="F10" s="173">
        <f>'Clb Q (2)'!F9</f>
        <v>1402.3999999999999</v>
      </c>
      <c r="G10" s="12"/>
      <c r="H10" s="174" t="str">
        <f>IF(INFO!B8&gt;6,"CLUB N°7","")</f>
        <v>CLUB N°7</v>
      </c>
      <c r="I10" s="254" t="str">
        <f>IF(INFO!B8&gt;6,'Clb Q (2)'!K9,"")</f>
        <v>CR</v>
      </c>
      <c r="J10" s="255"/>
      <c r="K10" s="255"/>
      <c r="L10" s="173">
        <f>IF(INFO!B8&gt;6,'Clb Q (2)'!N9,"")</f>
        <v>1254.7</v>
      </c>
      <c r="M10" s="12"/>
    </row>
    <row r="11" spans="1:14" ht="22.05" customHeight="1" thickBot="1">
      <c r="A11" s="175"/>
      <c r="B11" s="174" t="s">
        <v>15</v>
      </c>
      <c r="C11" s="176" t="s">
        <v>16</v>
      </c>
      <c r="D11" s="177" t="s">
        <v>33</v>
      </c>
      <c r="E11" s="178" t="s">
        <v>35</v>
      </c>
      <c r="F11" s="174" t="s">
        <v>36</v>
      </c>
      <c r="G11" s="12"/>
      <c r="H11" s="174" t="s">
        <v>15</v>
      </c>
      <c r="I11" s="176" t="s">
        <v>16</v>
      </c>
      <c r="J11" s="177" t="s">
        <v>33</v>
      </c>
      <c r="K11" s="178" t="s">
        <v>35</v>
      </c>
      <c r="L11" s="174" t="s">
        <v>36</v>
      </c>
      <c r="M11" s="12"/>
    </row>
    <row r="12" spans="1:14" ht="22.05" customHeight="1">
      <c r="A12" s="175"/>
      <c r="B12" s="188" t="str">
        <f>VLOOKUP(F12,'Clb Q (2)'!A$11:G$15,2,0)</f>
        <v>STEINER Julien</v>
      </c>
      <c r="C12" s="180">
        <f>VLOOKUP(F12,'Clb Q (2)'!A$11:G$15,3,0)</f>
        <v>92</v>
      </c>
      <c r="D12" s="181">
        <f>VLOOKUP(F12,'Clb Q (2)'!A$11:G$15,4,0)</f>
        <v>99.7</v>
      </c>
      <c r="E12" s="182">
        <f>VLOOKUP(F12,'Clb Q (2)'!A$11:G$15,5,0)</f>
        <v>97.1</v>
      </c>
      <c r="F12" s="179">
        <f>LARGE('Clb Q (2)'!A$11:A$15,1)</f>
        <v>288.80000971996992</v>
      </c>
      <c r="G12" s="12"/>
      <c r="H12" s="179" t="str">
        <f>IF(INFO!B$8&gt;6,VLOOKUP(L12,'Clb Q (2)'!I$11:O$15,2,0),"")</f>
        <v>GUYON Loïc</v>
      </c>
      <c r="I12" s="180">
        <f>IF(INFO!B$8&gt;6,VLOOKUP(L12,'Clb Q (2)'!I$11:O$15,3,0),"")</f>
        <v>91.3</v>
      </c>
      <c r="J12" s="181">
        <f>IF(INFO!B$8&gt;6,VLOOKUP(L12,'Clb Q (2)'!I$11:O$15,4,0),"")</f>
        <v>90.9</v>
      </c>
      <c r="K12" s="182">
        <f>IF(INFO!B$8&gt;6,VLOOKUP(L12,'Clb Q (2)'!I$11:O$15,5,0),"")</f>
        <v>90.9</v>
      </c>
      <c r="L12" s="179">
        <f>IF(INFO!B$8&gt;6,LARGE('Clb Q (2)'!I$11:I$15,1),"")</f>
        <v>273.10000909909002</v>
      </c>
      <c r="M12" s="12"/>
    </row>
    <row r="13" spans="1:14" ht="22.05" customHeight="1">
      <c r="A13" s="175"/>
      <c r="B13" s="179" t="str">
        <f>VLOOKUP(F13,'Clb Q (2)'!A$11:G$15,2,0)</f>
        <v>POPIER Théo</v>
      </c>
      <c r="C13" s="180">
        <f>VLOOKUP(F13,'Clb Q (2)'!A$11:G$15,3,0)</f>
        <v>93.3</v>
      </c>
      <c r="D13" s="181">
        <f>VLOOKUP(F13,'Clb Q (2)'!A$11:G$15,4,0)</f>
        <v>95</v>
      </c>
      <c r="E13" s="182">
        <f>VLOOKUP(F13,'Clb Q (2)'!A$11:G$15,5,0)</f>
        <v>97.2</v>
      </c>
      <c r="F13" s="179">
        <f>LARGE('Clb Q (2)'!A$11:A$15,2)</f>
        <v>285.50000972949999</v>
      </c>
      <c r="G13" s="12"/>
      <c r="H13" s="179" t="str">
        <f>IF(INFO!B$8&gt;6,VLOOKUP(L13,'Clb Q (2)'!I$11:O$15,2,0),"")</f>
        <v>POITOUX Jean-Marc</v>
      </c>
      <c r="I13" s="180">
        <f>IF(INFO!B$8&gt;6,VLOOKUP(L13,'Clb Q (2)'!I$11:O$15,3,0),"")</f>
        <v>83.9</v>
      </c>
      <c r="J13" s="181">
        <f>IF(INFO!B$8&gt;6,VLOOKUP(L13,'Clb Q (2)'!I$11:O$15,4,0),"")</f>
        <v>84.1</v>
      </c>
      <c r="K13" s="182">
        <f>IF(INFO!B$8&gt;6,VLOOKUP(L13,'Clb Q (2)'!I$11:O$15,5,0),"")</f>
        <v>89.5</v>
      </c>
      <c r="L13" s="179">
        <f>IF(INFO!B$8&gt;6,LARGE('Clb Q (2)'!I$11:I$15,2),"")</f>
        <v>257.50000895840998</v>
      </c>
      <c r="M13" s="12"/>
    </row>
    <row r="14" spans="1:14" ht="22.05" customHeight="1">
      <c r="A14" s="175"/>
      <c r="B14" s="179" t="str">
        <f>VLOOKUP(F14,'Clb Q (2)'!A$11:G$15,2,0)</f>
        <v>JACQUETIN Olivier</v>
      </c>
      <c r="C14" s="180">
        <f>VLOOKUP(F14,'Clb Q (2)'!A$11:G$15,3,0)</f>
        <v>95</v>
      </c>
      <c r="D14" s="181">
        <f>VLOOKUP(F14,'Clb Q (2)'!A$11:G$15,4,0)</f>
        <v>94.7</v>
      </c>
      <c r="E14" s="182">
        <f>VLOOKUP(F14,'Clb Q (2)'!A$11:G$15,5,0)</f>
        <v>92.3</v>
      </c>
      <c r="F14" s="179">
        <f>LARGE('Clb Q (2)'!A$11:A$15,3)</f>
        <v>282.00000923946999</v>
      </c>
      <c r="G14" s="12"/>
      <c r="H14" s="179" t="str">
        <f>IF(INFO!B$8&gt;6,VLOOKUP(L14,'Clb Q (2)'!I$11:O$15,2,0),"")</f>
        <v>NICOLLET Léa</v>
      </c>
      <c r="I14" s="180">
        <f>IF(INFO!B$8&gt;6,VLOOKUP(L14,'Clb Q (2)'!I$11:O$15,3,0),"")</f>
        <v>80.8</v>
      </c>
      <c r="J14" s="181">
        <f>IF(INFO!B$8&gt;6,VLOOKUP(L14,'Clb Q (2)'!I$11:O$15,4,0),"")</f>
        <v>81</v>
      </c>
      <c r="K14" s="182">
        <f>IF(INFO!B$8&gt;6,VLOOKUP(L14,'Clb Q (2)'!I$11:O$15,5,0),"")</f>
        <v>83.9</v>
      </c>
      <c r="L14" s="179">
        <f>IF(INFO!B$8&gt;6,LARGE('Clb Q (2)'!I$11:I$15,3),"")</f>
        <v>245.70000839810001</v>
      </c>
      <c r="M14" s="12"/>
    </row>
    <row r="15" spans="1:14" ht="22.05" customHeight="1">
      <c r="A15" s="175"/>
      <c r="B15" s="179" t="str">
        <f>VLOOKUP(F15,'Clb Q (2)'!A$11:G$15,2,0)</f>
        <v>DURAND Juliette</v>
      </c>
      <c r="C15" s="180">
        <f>VLOOKUP(F15,'Clb Q (2)'!A$11:G$15,3,0)</f>
        <v>91.2</v>
      </c>
      <c r="D15" s="181">
        <f>VLOOKUP(F15,'Clb Q (2)'!A$11:G$15,4,0)</f>
        <v>91.3</v>
      </c>
      <c r="E15" s="182">
        <f>VLOOKUP(F15,'Clb Q (2)'!A$11:G$15,5,0)</f>
        <v>94.7</v>
      </c>
      <c r="F15" s="179">
        <f>LARGE('Clb Q (2)'!A$11:A$15,4)</f>
        <v>277.20000947913002</v>
      </c>
      <c r="G15" s="12"/>
      <c r="H15" s="179" t="str">
        <f>IF(INFO!B$8&gt;6,VLOOKUP(L15,'Clb Q (2)'!I$11:O$15,2,0),"")</f>
        <v>LEONARD Matias</v>
      </c>
      <c r="I15" s="180">
        <f>IF(INFO!B$8&gt;6,VLOOKUP(L15,'Clb Q (2)'!I$11:O$15,3,0),"")</f>
        <v>84.4</v>
      </c>
      <c r="J15" s="181">
        <f>IF(INFO!B$8&gt;6,VLOOKUP(L15,'Clb Q (2)'!I$11:O$15,4,0),"")</f>
        <v>82.5</v>
      </c>
      <c r="K15" s="182">
        <f>IF(INFO!B$8&gt;6,VLOOKUP(L15,'Clb Q (2)'!I$11:O$15,5,0),"")</f>
        <v>74.8</v>
      </c>
      <c r="L15" s="179">
        <f>IF(INFO!B$8&gt;6,LARGE('Clb Q (2)'!I$11:I$15,4),"")</f>
        <v>241.70000748824998</v>
      </c>
      <c r="M15" s="12"/>
    </row>
    <row r="16" spans="1:14" ht="22.05" customHeight="1" thickBot="1">
      <c r="A16" s="175"/>
      <c r="B16" s="183" t="str">
        <f>VLOOKUP(F16,'Clb Q (2)'!A$11:G$15,2,0)</f>
        <v>BERLANDE Julianne</v>
      </c>
      <c r="C16" s="184">
        <f>VLOOKUP(F16,'Clb Q (2)'!A$11:G$15,3,0)</f>
        <v>83.8</v>
      </c>
      <c r="D16" s="185">
        <f>VLOOKUP(F16,'Clb Q (2)'!A$11:G$15,4,0)</f>
        <v>94.4</v>
      </c>
      <c r="E16" s="186">
        <f>VLOOKUP(F16,'Clb Q (2)'!A$11:G$15,5,0)</f>
        <v>90.7</v>
      </c>
      <c r="F16" s="183">
        <f>LARGE('Clb Q (2)'!A$11:A$15,5)</f>
        <v>268.90000907943994</v>
      </c>
      <c r="G16" s="12"/>
      <c r="H16" s="183" t="str">
        <f>IF(INFO!B$8&gt;6,VLOOKUP(L16,'Clb Q (2)'!I$11:O$15,2,0),"")</f>
        <v>DESCHANEL Timéo</v>
      </c>
      <c r="I16" s="184">
        <f>IF(INFO!B$8&gt;6,VLOOKUP(L16,'Clb Q (2)'!I$11:O$15,3,0),"")</f>
        <v>86</v>
      </c>
      <c r="J16" s="185">
        <f>IF(INFO!B$8&gt;6,VLOOKUP(L16,'Clb Q (2)'!I$11:O$15,4,0),"")</f>
        <v>75.7</v>
      </c>
      <c r="K16" s="186">
        <f>IF(INFO!B$8&gt;6,VLOOKUP(L16,'Clb Q (2)'!I$11:O$15,5,0),"")</f>
        <v>75</v>
      </c>
      <c r="L16" s="183">
        <f>IF(INFO!B$8&gt;6,LARGE('Clb Q (2)'!I$11:I$15,5),"")</f>
        <v>236.70000750757001</v>
      </c>
      <c r="M16" s="12"/>
    </row>
    <row r="17" spans="1:13" ht="22.05" customHeight="1" thickBot="1">
      <c r="A17" s="12"/>
      <c r="B17" s="187"/>
      <c r="C17" s="12"/>
      <c r="D17" s="12"/>
      <c r="E17" s="12"/>
      <c r="F17" s="187"/>
      <c r="G17" s="12"/>
      <c r="H17" s="187"/>
      <c r="I17" s="12"/>
      <c r="J17" s="12"/>
      <c r="K17" s="12"/>
      <c r="L17" s="187"/>
      <c r="M17" s="12"/>
    </row>
    <row r="18" spans="1:13" ht="22.05" customHeight="1" thickBot="1">
      <c r="A18" s="12"/>
      <c r="B18" s="174" t="str">
        <f>IF(INFO!B8&gt;2,"CLUB N°3","")</f>
        <v>CLUB N°3</v>
      </c>
      <c r="C18" s="254" t="str">
        <f>IF(INFO!B8&gt;2,'Clb Q (2)'!C17,"")</f>
        <v>STBB</v>
      </c>
      <c r="D18" s="255"/>
      <c r="E18" s="255"/>
      <c r="F18" s="173">
        <f>IF(INFO!B8&gt;2,'Clb Q (2)'!F17,"")</f>
        <v>1397.8000000000002</v>
      </c>
      <c r="G18" s="12"/>
      <c r="H18" s="174" t="str">
        <f>IF(INFO!B8&gt;5,"CLUB N°6","")</f>
        <v>CLUB N°6</v>
      </c>
      <c r="I18" s="254" t="str">
        <f>IF(INFO!B8&gt;5,'Clb Q (2)'!K17,"")</f>
        <v>ALAT</v>
      </c>
      <c r="J18" s="255"/>
      <c r="K18" s="255"/>
      <c r="L18" s="173">
        <f>IF(INFO!B8&gt;5,'Clb Q (2)'!N17,"")</f>
        <v>1327.6000000000001</v>
      </c>
      <c r="M18" s="12"/>
    </row>
    <row r="19" spans="1:13" ht="22.05" customHeight="1" thickBot="1">
      <c r="A19" s="175"/>
      <c r="B19" s="174" t="s">
        <v>15</v>
      </c>
      <c r="C19" s="176" t="s">
        <v>16</v>
      </c>
      <c r="D19" s="177" t="s">
        <v>33</v>
      </c>
      <c r="E19" s="178" t="s">
        <v>35</v>
      </c>
      <c r="F19" s="174" t="s">
        <v>36</v>
      </c>
      <c r="G19" s="12"/>
      <c r="H19" s="174" t="s">
        <v>15</v>
      </c>
      <c r="I19" s="176" t="s">
        <v>16</v>
      </c>
      <c r="J19" s="177" t="s">
        <v>33</v>
      </c>
      <c r="K19" s="178" t="s">
        <v>35</v>
      </c>
      <c r="L19" s="174" t="s">
        <v>36</v>
      </c>
      <c r="M19" s="12"/>
    </row>
    <row r="20" spans="1:13" ht="22.05" customHeight="1">
      <c r="A20" s="175"/>
      <c r="B20" s="179" t="str">
        <f>IF(INFO!B$8&gt;2,VLOOKUP(F20,'Clb Q (2)'!A$19:G$23,2,0),"")</f>
        <v>MARAIS Alexis</v>
      </c>
      <c r="C20" s="180">
        <f>IF(INFO!B$8&gt;2,VLOOKUP(F20,'Clb Q (2)'!A$19:G$23,3,0),"")</f>
        <v>101.2</v>
      </c>
      <c r="D20" s="181">
        <f>IF(INFO!B$8&gt;2,VLOOKUP(F20,'Clb Q (2)'!A$19:G$23,4,0),"")</f>
        <v>102.3</v>
      </c>
      <c r="E20" s="182">
        <f>IF(INFO!B$8&gt;2,VLOOKUP(F20,'Clb Q (2)'!A$19:G$23,5,0),"")</f>
        <v>100.4</v>
      </c>
      <c r="F20" s="179">
        <f>IF(INFO!B$8&gt;2,LARGE('Clb Q (2)'!A$19:A$23,1),"")</f>
        <v>303.90001005022998</v>
      </c>
      <c r="G20" s="12"/>
      <c r="H20" s="179" t="str">
        <f>IF(INFO!B$8&gt;5,VLOOKUP(L20,'Clb Q (2)'!I$19:O$23,2,0),"")</f>
        <v>MAYOT Tiphaine</v>
      </c>
      <c r="I20" s="180">
        <f>IF(INFO!B$8&gt;5,VLOOKUP(L20,'Clb Q (2)'!I$19:O$23,3,0),"")</f>
        <v>99.7</v>
      </c>
      <c r="J20" s="181">
        <f>IF(INFO!B$8&gt;5,VLOOKUP(L20,'Clb Q (2)'!I$19:O$23,4,0),"")</f>
        <v>98.4</v>
      </c>
      <c r="K20" s="182">
        <f>IF(INFO!B$8&gt;5,VLOOKUP(L20,'Clb Q (2)'!I$19:O$23,5,0),"")</f>
        <v>97.1</v>
      </c>
      <c r="L20" s="179">
        <f>IF(INFO!B$8&gt;5,LARGE('Clb Q (2)'!I$19:I$23,1),"")</f>
        <v>295.20000971984001</v>
      </c>
      <c r="M20" s="12"/>
    </row>
    <row r="21" spans="1:13" ht="22.05" customHeight="1">
      <c r="A21" s="175"/>
      <c r="B21" s="179" t="str">
        <f>IF(INFO!B$8&gt;2,VLOOKUP(F21,'Clb Q (2)'!A$19:G$23,2,0),"")</f>
        <v>LACROIX Lauriane</v>
      </c>
      <c r="C21" s="180">
        <f>IF(INFO!B$8&gt;2,VLOOKUP(F21,'Clb Q (2)'!A$19:G$23,3,0),"")</f>
        <v>97.9</v>
      </c>
      <c r="D21" s="181">
        <f>IF(INFO!B$8&gt;2,VLOOKUP(F21,'Clb Q (2)'!A$19:G$23,4,0),"")</f>
        <v>99.5</v>
      </c>
      <c r="E21" s="182">
        <f>IF(INFO!B$8&gt;2,VLOOKUP(F21,'Clb Q (2)'!A$19:G$23,5,0),"")</f>
        <v>97.8</v>
      </c>
      <c r="F21" s="179">
        <f>IF(INFO!B$8&gt;2,LARGE('Clb Q (2)'!A$19:A$23,2),"")</f>
        <v>295.20000978995</v>
      </c>
      <c r="G21" s="12"/>
      <c r="H21" s="179" t="str">
        <f>IF(INFO!B$8&gt;5,VLOOKUP(L21,'Clb Q (2)'!I$19:O$23,2,0),"")</f>
        <v>LAUNAY Aloïs</v>
      </c>
      <c r="I21" s="180">
        <f>IF(INFO!B$8&gt;5,VLOOKUP(L21,'Clb Q (2)'!I$19:O$23,3,0),"")</f>
        <v>89.7</v>
      </c>
      <c r="J21" s="181">
        <f>IF(INFO!B$8&gt;5,VLOOKUP(L21,'Clb Q (2)'!I$19:O$23,4,0),"")</f>
        <v>89.4</v>
      </c>
      <c r="K21" s="182">
        <f>IF(INFO!B$8&gt;5,VLOOKUP(L21,'Clb Q (2)'!I$19:O$23,5,0),"")</f>
        <v>95.2</v>
      </c>
      <c r="L21" s="179">
        <f>IF(INFO!B$8&gt;5,LARGE('Clb Q (2)'!I$19:I$23,2),"")</f>
        <v>274.30000952894</v>
      </c>
      <c r="M21" s="12"/>
    </row>
    <row r="22" spans="1:13" ht="22.05" customHeight="1">
      <c r="A22" s="175"/>
      <c r="B22" s="179" t="str">
        <f>IF(INFO!B$8&gt;2,VLOOKUP(F22,'Clb Q (2)'!A$19:G$23,2,0),"")</f>
        <v>DHONT Hugo</v>
      </c>
      <c r="C22" s="180">
        <f>IF(INFO!B$8&gt;2,VLOOKUP(F22,'Clb Q (2)'!A$19:G$23,3,0),"")</f>
        <v>97.9</v>
      </c>
      <c r="D22" s="181">
        <f>IF(INFO!B$8&gt;2,VLOOKUP(F22,'Clb Q (2)'!A$19:G$23,4,0),"")</f>
        <v>97.1</v>
      </c>
      <c r="E22" s="182">
        <f>IF(INFO!B$8&gt;2,VLOOKUP(F22,'Clb Q (2)'!A$19:G$23,5,0),"")</f>
        <v>95.2</v>
      </c>
      <c r="F22" s="179">
        <f>IF(INFO!B$8&gt;2,LARGE('Clb Q (2)'!A$19:A$23,3),"")</f>
        <v>290.20000952970997</v>
      </c>
      <c r="G22" s="12"/>
      <c r="H22" s="179" t="str">
        <f>IF(INFO!B$8&gt;5,VLOOKUP(L22,'Clb Q (2)'!I$19:O$23,2,0),"")</f>
        <v>FORGE Mathys</v>
      </c>
      <c r="I22" s="180">
        <f>IF(INFO!B$8&gt;5,VLOOKUP(L22,'Clb Q (2)'!I$19:O$23,3,0),"")</f>
        <v>85.6</v>
      </c>
      <c r="J22" s="181">
        <f>IF(INFO!B$8&gt;5,VLOOKUP(L22,'Clb Q (2)'!I$19:O$23,4,0),"")</f>
        <v>89.7</v>
      </c>
      <c r="K22" s="182">
        <f>IF(INFO!B$8&gt;5,VLOOKUP(L22,'Clb Q (2)'!I$19:O$23,5,0),"")</f>
        <v>91.9</v>
      </c>
      <c r="L22" s="179">
        <f>IF(INFO!B$8&gt;5,LARGE('Clb Q (2)'!I$19:I$23,3),"")</f>
        <v>267.20000919897006</v>
      </c>
      <c r="M22" s="12"/>
    </row>
    <row r="23" spans="1:13" ht="22.05" customHeight="1">
      <c r="A23" s="175"/>
      <c r="B23" s="179" t="str">
        <f>IF(INFO!B$8&gt;2,VLOOKUP(F23,'Clb Q (2)'!A$19:G$23,2,0),"")</f>
        <v>VENET Léna</v>
      </c>
      <c r="C23" s="180">
        <f>IF(INFO!B$8&gt;2,VLOOKUP(F23,'Clb Q (2)'!A$19:G$23,3,0),"")</f>
        <v>92.9</v>
      </c>
      <c r="D23" s="181">
        <f>IF(INFO!B$8&gt;2,VLOOKUP(F23,'Clb Q (2)'!A$19:G$23,4,0),"")</f>
        <v>98.1</v>
      </c>
      <c r="E23" s="182">
        <f>IF(INFO!B$8&gt;2,VLOOKUP(F23,'Clb Q (2)'!A$19:G$23,5,0),"")</f>
        <v>95</v>
      </c>
      <c r="F23" s="179">
        <f>IF(INFO!B$8&gt;2,LARGE('Clb Q (2)'!A$19:A$23,4),"")</f>
        <v>286.00000950980996</v>
      </c>
      <c r="G23" s="12"/>
      <c r="H23" s="179" t="str">
        <f>IF(INFO!B$8&gt;5,VLOOKUP(L23,'Clb Q (2)'!I$19:O$23,2,0),"")</f>
        <v>MAZILLE Axelle</v>
      </c>
      <c r="I23" s="180">
        <f>IF(INFO!B$8&gt;5,VLOOKUP(L23,'Clb Q (2)'!I$19:O$23,3,0),"")</f>
        <v>75.900000000000006</v>
      </c>
      <c r="J23" s="181">
        <f>IF(INFO!B$8&gt;5,VLOOKUP(L23,'Clb Q (2)'!I$19:O$23,4,0),"")</f>
        <v>92</v>
      </c>
      <c r="K23" s="182">
        <f>IF(INFO!B$8&gt;5,VLOOKUP(L23,'Clb Q (2)'!I$19:O$23,5,0),"")</f>
        <v>83.7</v>
      </c>
      <c r="L23" s="179">
        <f>IF(INFO!B$8&gt;5,LARGE('Clb Q (2)'!I$19:I$23,4),"")</f>
        <v>251.60000837920001</v>
      </c>
      <c r="M23" s="12"/>
    </row>
    <row r="24" spans="1:13" ht="22.05" customHeight="1" thickBot="1">
      <c r="A24" s="175"/>
      <c r="B24" s="183" t="str">
        <f>IF(INFO!B$8&gt;2,VLOOKUP(F24,'Clb Q (2)'!A$19:G$23,2,0),"")</f>
        <v>VENET Eric</v>
      </c>
      <c r="C24" s="184">
        <f>IF(INFO!B$8&gt;2,VLOOKUP(F24,'Clb Q (2)'!A$19:G$23,3,0),"")</f>
        <v>66.099999999999994</v>
      </c>
      <c r="D24" s="185">
        <f>IF(INFO!B$8&gt;2,VLOOKUP(F24,'Clb Q (2)'!A$19:G$23,4,0),"")</f>
        <v>76.8</v>
      </c>
      <c r="E24" s="186">
        <f>IF(INFO!B$8&gt;2,VLOOKUP(F24,'Clb Q (2)'!A$19:G$23,5,0),"")</f>
        <v>79.599999999999994</v>
      </c>
      <c r="F24" s="183">
        <f>IF(INFO!B$8&gt;2,LARGE('Clb Q (2)'!A$19:A$23,5),"")</f>
        <v>222.50000796767998</v>
      </c>
      <c r="G24" s="12"/>
      <c r="H24" s="183" t="str">
        <f>IF(INFO!B$8&gt;5,VLOOKUP(L24,'Clb Q (2)'!I$19:O$23,2,0),"")</f>
        <v>CHAIZE Arthur</v>
      </c>
      <c r="I24" s="184">
        <f>IF(INFO!B$8&gt;5,VLOOKUP(L24,'Clb Q (2)'!I$19:O$23,3,0),"")</f>
        <v>80.3</v>
      </c>
      <c r="J24" s="185">
        <f>IF(INFO!B$8&gt;5,VLOOKUP(L24,'Clb Q (2)'!I$19:O$23,4,0),"")</f>
        <v>77.400000000000006</v>
      </c>
      <c r="K24" s="186">
        <f>IF(INFO!B$8&gt;5,VLOOKUP(L24,'Clb Q (2)'!I$19:O$23,5,0),"")</f>
        <v>81.599999999999994</v>
      </c>
      <c r="L24" s="183">
        <f>IF(INFO!B$8&gt;5,LARGE('Clb Q (2)'!I$19:I$23,5),"")</f>
        <v>239.30000816773997</v>
      </c>
      <c r="M24" s="12"/>
    </row>
    <row r="25" spans="1:13" ht="22.05" customHeight="1" thickBot="1">
      <c r="A25" s="12"/>
      <c r="B25" s="187"/>
      <c r="C25" s="12"/>
      <c r="D25" s="12"/>
      <c r="E25" s="12"/>
      <c r="F25" s="187"/>
      <c r="G25" s="12"/>
      <c r="H25" s="187"/>
      <c r="I25" s="12"/>
      <c r="J25" s="12"/>
      <c r="K25" s="12"/>
      <c r="L25" s="187"/>
      <c r="M25" s="12"/>
    </row>
    <row r="26" spans="1:13" ht="22.05" customHeight="1" thickBot="1">
      <c r="A26" s="12"/>
      <c r="B26" s="174" t="str">
        <f>IF(INFO!B8&gt;3,"CLUB N°4","")</f>
        <v>CLUB N°4</v>
      </c>
      <c r="C26" s="254" t="str">
        <f>IF(INFO!B8&gt;3,'Clb Q (2)'!C25,"")</f>
        <v>CTB</v>
      </c>
      <c r="D26" s="255"/>
      <c r="E26" s="255"/>
      <c r="F26" s="173">
        <f>IF(INFO!B8&gt;3,'Clb Q (2)'!F25,"")</f>
        <v>1390.9</v>
      </c>
      <c r="G26" s="12"/>
      <c r="H26" s="174" t="str">
        <f>IF(INFO!B8&gt;4,"CLUB N°5","")</f>
        <v>CLUB N°5</v>
      </c>
      <c r="I26" s="254" t="str">
        <f>IF(INFO!B8&gt;4,'Clb Q (2)'!K25,"")</f>
        <v>USO</v>
      </c>
      <c r="J26" s="255"/>
      <c r="K26" s="255"/>
      <c r="L26" s="173">
        <f>IF(INFO!B8&gt;4,'Clb Q (2)'!N25,"")</f>
        <v>1329.2</v>
      </c>
      <c r="M26" s="12"/>
    </row>
    <row r="27" spans="1:13" ht="22.05" customHeight="1" thickBot="1">
      <c r="A27" s="175"/>
      <c r="B27" s="174" t="s">
        <v>15</v>
      </c>
      <c r="C27" s="176" t="s">
        <v>16</v>
      </c>
      <c r="D27" s="177" t="s">
        <v>33</v>
      </c>
      <c r="E27" s="178" t="s">
        <v>35</v>
      </c>
      <c r="F27" s="174" t="s">
        <v>36</v>
      </c>
      <c r="G27" s="12"/>
      <c r="H27" s="174" t="s">
        <v>15</v>
      </c>
      <c r="I27" s="176" t="s">
        <v>16</v>
      </c>
      <c r="J27" s="177" t="s">
        <v>33</v>
      </c>
      <c r="K27" s="178" t="s">
        <v>35</v>
      </c>
      <c r="L27" s="174" t="s">
        <v>36</v>
      </c>
      <c r="M27" s="12"/>
    </row>
    <row r="28" spans="1:13" ht="22.05" customHeight="1">
      <c r="A28" s="175"/>
      <c r="B28" s="179" t="str">
        <f>IF(INFO!B$8&gt;3,VLOOKUP(F28,'Clb Q (2)'!A$27:G$31,2,0),"")</f>
        <v>RAUNIER Aurore</v>
      </c>
      <c r="C28" s="180">
        <f>IF(INFO!B$8&gt;3,VLOOKUP(F28,'Clb Q (2)'!A$27:G$31,3,0),"")</f>
        <v>95</v>
      </c>
      <c r="D28" s="181">
        <f>IF(INFO!B$8&gt;3,VLOOKUP(F28,'Clb Q (2)'!A$27:G$31,4,0),"")</f>
        <v>98.9</v>
      </c>
      <c r="E28" s="182">
        <f>IF(INFO!B$8&gt;3,VLOOKUP(F28,'Clb Q (2)'!A$27:G$31,5,0),"")</f>
        <v>99.9</v>
      </c>
      <c r="F28" s="179">
        <f>IF(INFO!B$8&gt;3,LARGE('Clb Q (2)'!A$27:A$31,1),"")</f>
        <v>293.80000999989005</v>
      </c>
      <c r="G28" s="12"/>
      <c r="H28" s="179" t="str">
        <f>IF(INFO!B$8&gt;4,VLOOKUP(L28,'Clb Q (2)'!I$27:O$31,2,0),"")</f>
        <v>LANDIM MONTEIRO Frédérique</v>
      </c>
      <c r="I28" s="180">
        <f>IF(INFO!B$8&gt;4,VLOOKUP(L28,'Clb Q (2)'!I$27:O$31,3,0),"")</f>
        <v>90.4</v>
      </c>
      <c r="J28" s="181">
        <f>IF(INFO!B$8&gt;4,VLOOKUP(L28,'Clb Q (2)'!I$27:O$31,4,0),"")</f>
        <v>94.3</v>
      </c>
      <c r="K28" s="182">
        <f>IF(INFO!B$8&gt;4,VLOOKUP(L28,'Clb Q (2)'!I$27:O$31,5,0),"")</f>
        <v>95.7</v>
      </c>
      <c r="L28" s="179">
        <f>IF(INFO!B$8&gt;4,LARGE('Clb Q (2)'!I$27:I$31,1),"")</f>
        <v>280.40000957942993</v>
      </c>
      <c r="M28" s="12"/>
    </row>
    <row r="29" spans="1:13" ht="22.05" customHeight="1">
      <c r="A29" s="175"/>
      <c r="B29" s="179" t="str">
        <f>IF(INFO!B$8&gt;3,VLOOKUP(F29,'Clb Q (2)'!A$27:G$31,2,0),"")</f>
        <v>KICHENAMA Raphaël</v>
      </c>
      <c r="C29" s="180">
        <f>IF(INFO!B$8&gt;3,VLOOKUP(F29,'Clb Q (2)'!A$27:G$31,3,0),"")</f>
        <v>96.7</v>
      </c>
      <c r="D29" s="181">
        <f>IF(INFO!B$8&gt;3,VLOOKUP(F29,'Clb Q (2)'!A$27:G$31,4,0),"")</f>
        <v>97.3</v>
      </c>
      <c r="E29" s="182">
        <f>IF(INFO!B$8&gt;3,VLOOKUP(F29,'Clb Q (2)'!A$27:G$31,5,0),"")</f>
        <v>99.4</v>
      </c>
      <c r="F29" s="179">
        <f>IF(INFO!B$8&gt;3,LARGE('Clb Q (2)'!A$27:A$31,2),"")</f>
        <v>293.40000994972996</v>
      </c>
      <c r="G29" s="12"/>
      <c r="H29" s="179" t="str">
        <f>IF(INFO!B$8&gt;4,VLOOKUP(L29,'Clb Q (2)'!I$27:O$31,2,0),"")</f>
        <v>BEAUME Célia</v>
      </c>
      <c r="I29" s="180">
        <f>IF(INFO!B$8&gt;4,VLOOKUP(L29,'Clb Q (2)'!I$27:O$31,3,0),"")</f>
        <v>85.9</v>
      </c>
      <c r="J29" s="181">
        <f>IF(INFO!B$8&gt;4,VLOOKUP(L29,'Clb Q (2)'!I$27:O$31,4,0),"")</f>
        <v>89.2</v>
      </c>
      <c r="K29" s="182">
        <f>IF(INFO!B$8&gt;4,VLOOKUP(L29,'Clb Q (2)'!I$27:O$31,5,0),"")</f>
        <v>94.7</v>
      </c>
      <c r="L29" s="179">
        <f>IF(INFO!B$8&gt;4,LARGE('Clb Q (2)'!I$27:I$31,2),"")</f>
        <v>269.80000947892</v>
      </c>
      <c r="M29" s="12"/>
    </row>
    <row r="30" spans="1:13" ht="22.05" customHeight="1">
      <c r="A30" s="175"/>
      <c r="B30" s="179" t="str">
        <f>IF(INFO!B$8&gt;3,VLOOKUP(F30,'Clb Q (2)'!A$27:G$31,2,0),"")</f>
        <v>JOUSSERAND-MORNAY Alice</v>
      </c>
      <c r="C30" s="180">
        <f>IF(INFO!B$8&gt;3,VLOOKUP(F30,'Clb Q (2)'!A$27:G$31,3,0),"")</f>
        <v>90.6</v>
      </c>
      <c r="D30" s="181">
        <f>IF(INFO!B$8&gt;3,VLOOKUP(F30,'Clb Q (2)'!A$27:G$31,4,0),"")</f>
        <v>92.6</v>
      </c>
      <c r="E30" s="182">
        <f>IF(INFO!B$8&gt;3,VLOOKUP(F30,'Clb Q (2)'!A$27:G$31,5,0),"")</f>
        <v>96.7</v>
      </c>
      <c r="F30" s="179">
        <f>IF(INFO!B$8&gt;3,LARGE('Clb Q (2)'!A$27:A$31,3),"")</f>
        <v>279.90000967925999</v>
      </c>
      <c r="G30" s="12"/>
      <c r="H30" s="179" t="str">
        <f>IF(INFO!B$8&gt;4,VLOOKUP(L30,'Clb Q (2)'!I$27:O$31,2,0),"")</f>
        <v>VEIL Guillaume</v>
      </c>
      <c r="I30" s="180">
        <f>IF(INFO!B$8&gt;4,VLOOKUP(L30,'Clb Q (2)'!I$27:O$31,3,0),"")</f>
        <v>81.099999999999994</v>
      </c>
      <c r="J30" s="181">
        <f>IF(INFO!B$8&gt;4,VLOOKUP(L30,'Clb Q (2)'!I$27:O$31,4,0),"")</f>
        <v>90.7</v>
      </c>
      <c r="K30" s="182">
        <f>IF(INFO!B$8&gt;4,VLOOKUP(L30,'Clb Q (2)'!I$27:O$31,5,0),"")</f>
        <v>93.1</v>
      </c>
      <c r="L30" s="179">
        <f>IF(INFO!B$8&gt;4,LARGE('Clb Q (2)'!I$27:I$31,3),"")</f>
        <v>264.90000931906997</v>
      </c>
      <c r="M30" s="12"/>
    </row>
    <row r="31" spans="1:13" ht="22.05" customHeight="1">
      <c r="A31" s="175"/>
      <c r="B31" s="179" t="str">
        <f>IF(INFO!B$8&gt;3,VLOOKUP(F31,'Clb Q (2)'!A$27:G$31,2,0),"")</f>
        <v>DUPERRAI LAINE Eliott</v>
      </c>
      <c r="C31" s="180">
        <f>IF(INFO!B$8&gt;3,VLOOKUP(F31,'Clb Q (2)'!A$27:G$31,3,0),"")</f>
        <v>88.8</v>
      </c>
      <c r="D31" s="181">
        <f>IF(INFO!B$8&gt;3,VLOOKUP(F31,'Clb Q (2)'!A$27:G$31,4,0),"")</f>
        <v>91.5</v>
      </c>
      <c r="E31" s="182">
        <f>IF(INFO!B$8&gt;3,VLOOKUP(F31,'Clb Q (2)'!A$27:G$31,5,0),"")</f>
        <v>94.6</v>
      </c>
      <c r="F31" s="179">
        <f>IF(INFO!B$8&gt;3,LARGE('Clb Q (2)'!A$27:A$31,4),"")</f>
        <v>274.90000946915001</v>
      </c>
      <c r="G31" s="12"/>
      <c r="H31" s="179" t="str">
        <f>IF(INFO!B$8&gt;4,VLOOKUP(L31,'Clb Q (2)'!I$27:O$31,2,0),"")</f>
        <v>VEIL Amaury</v>
      </c>
      <c r="I31" s="180">
        <f>IF(INFO!B$8&gt;4,VLOOKUP(L31,'Clb Q (2)'!I$27:O$31,3,0),"")</f>
        <v>85.9</v>
      </c>
      <c r="J31" s="181">
        <f>IF(INFO!B$8&gt;4,VLOOKUP(L31,'Clb Q (2)'!I$27:O$31,4,0),"")</f>
        <v>87.4</v>
      </c>
      <c r="K31" s="182">
        <f>IF(INFO!B$8&gt;4,VLOOKUP(L31,'Clb Q (2)'!I$27:O$31,5,0),"")</f>
        <v>85.2</v>
      </c>
      <c r="L31" s="179">
        <f>IF(INFO!B$8&gt;4,LARGE('Clb Q (2)'!I$27:I$31,4),"")</f>
        <v>258.50000852874001</v>
      </c>
      <c r="M31" s="12"/>
    </row>
    <row r="32" spans="1:13" ht="22.05" customHeight="1" thickBot="1">
      <c r="A32" s="175"/>
      <c r="B32" s="183" t="str">
        <f>IF(INFO!B$8&gt;3,VLOOKUP(F32,'Clb Q (2)'!A$27:G$31,2,0),"")</f>
        <v>CORREAUD André</v>
      </c>
      <c r="C32" s="184">
        <f>IF(INFO!B$8&gt;3,VLOOKUP(F32,'Clb Q (2)'!A$27:G$31,3,0),"")</f>
        <v>78.8</v>
      </c>
      <c r="D32" s="185">
        <f>IF(INFO!B$8&gt;3,VLOOKUP(F32,'Clb Q (2)'!A$27:G$31,4,0),"")</f>
        <v>87.1</v>
      </c>
      <c r="E32" s="186">
        <f>IF(INFO!B$8&gt;3,VLOOKUP(F32,'Clb Q (2)'!A$27:G$31,5,0),"")</f>
        <v>83</v>
      </c>
      <c r="F32" s="183">
        <f>IF(INFO!B$8&gt;3,LARGE('Clb Q (2)'!A$27:A$31,5),"")</f>
        <v>248.90000830870997</v>
      </c>
      <c r="G32" s="12"/>
      <c r="H32" s="183" t="str">
        <f>IF(INFO!B$8&gt;4,VLOOKUP(L32,'Clb Q (2)'!I$27:O$31,2,0),"")</f>
        <v>BEAUME Didier</v>
      </c>
      <c r="I32" s="184">
        <f>IF(INFO!B$8&gt;4,VLOOKUP(L32,'Clb Q (2)'!I$27:O$31,3,0),"")</f>
        <v>84.9</v>
      </c>
      <c r="J32" s="185">
        <f>IF(INFO!B$8&gt;4,VLOOKUP(L32,'Clb Q (2)'!I$27:O$31,4,0),"")</f>
        <v>85.5</v>
      </c>
      <c r="K32" s="186">
        <f>IF(INFO!B$8&gt;4,VLOOKUP(L32,'Clb Q (2)'!I$27:O$31,5,0),"")</f>
        <v>85.2</v>
      </c>
      <c r="L32" s="183">
        <f>IF(INFO!B$8&gt;4,LARGE('Clb Q (2)'!I$27:I$31,5),"")</f>
        <v>255.60000852855001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63" priority="1" operator="equal">
      <formula>0</formula>
    </cfRule>
    <cfRule type="containsErrors" dxfId="6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60" zoomScaleNormal="60" zoomScalePageLayoutView="80" workbookViewId="0">
      <pane ySplit="3" topLeftCell="A53" activePane="bottomLeft" state="frozenSplit"/>
      <selection activeCell="B12" sqref="B12"/>
      <selection pane="bottomLeft" activeCell="N71" sqref="N71:O77"/>
    </sheetView>
  </sheetViews>
  <sheetFormatPr baseColWidth="10" defaultColWidth="8.1796875" defaultRowHeight="28.05" customHeight="1" outlineLevelRow="1"/>
  <cols>
    <col min="1" max="2" width="8.1796875" style="23" customWidth="1"/>
    <col min="3" max="3" width="10.6328125" style="23" customWidth="1"/>
    <col min="4" max="5" width="8.1796875" style="23" customWidth="1"/>
    <col min="6" max="7" width="6.6328125" style="23" customWidth="1"/>
    <col min="8" max="9" width="8.17968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1796875" style="23" customWidth="1"/>
    <col min="16" max="17" width="6.6328125" style="23" customWidth="1"/>
    <col min="18" max="19" width="8.1796875" style="23" customWidth="1"/>
    <col min="20" max="20" width="10.6328125" style="23" customWidth="1"/>
    <col min="21" max="16384" width="8.1796875" style="23"/>
  </cols>
  <sheetData>
    <row r="1" spans="2:21" ht="28.95" customHeight="1"/>
    <row r="2" spans="2:21" ht="63">
      <c r="B2" s="282" t="str">
        <f>CONCATENATE(INFO!B7," - ",INFO!B9)</f>
        <v>CARABINE - LYONNAIS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</row>
    <row r="3" spans="2:21" ht="28.95" customHeight="1"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2:21" ht="60" customHeight="1" thickBot="1">
      <c r="B4" s="269" t="s">
        <v>54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</row>
    <row r="5" spans="2:21" s="24" customFormat="1" ht="28.05" customHeight="1" thickBot="1">
      <c r="C5" s="286" t="str">
        <f>'Clb Q'!C2</f>
        <v>SEST</v>
      </c>
      <c r="D5" s="287"/>
      <c r="E5" s="288"/>
      <c r="F5" s="260" t="s">
        <v>45</v>
      </c>
      <c r="G5" s="261"/>
      <c r="H5" s="286" t="str">
        <f>'Clb Q'!I2</f>
        <v>CTPS</v>
      </c>
      <c r="I5" s="287"/>
      <c r="J5" s="288"/>
      <c r="M5" s="286" t="str">
        <f>'Clb Q'!C18</f>
        <v>STBB</v>
      </c>
      <c r="N5" s="287"/>
      <c r="O5" s="288"/>
      <c r="P5" s="260" t="s">
        <v>45</v>
      </c>
      <c r="Q5" s="261"/>
      <c r="R5" s="286" t="str">
        <f>'Clb Q'!I18</f>
        <v>ALAT</v>
      </c>
      <c r="S5" s="287"/>
      <c r="T5" s="288"/>
    </row>
    <row r="6" spans="2:21" s="25" customFormat="1" ht="22.05" customHeight="1" outlineLevel="1">
      <c r="C6" s="283" t="str">
        <f>'Clb Q'!B4</f>
        <v>BONELLI Angéline</v>
      </c>
      <c r="D6" s="284"/>
      <c r="E6" s="285"/>
      <c r="F6" s="106">
        <v>21</v>
      </c>
      <c r="G6" s="107">
        <v>22</v>
      </c>
      <c r="H6" s="283" t="str">
        <f>'Clb Q'!H4</f>
        <v>DIAS Erwann</v>
      </c>
      <c r="I6" s="284"/>
      <c r="J6" s="285"/>
      <c r="M6" s="283" t="str">
        <f>'Clb Q'!B20</f>
        <v>MARAIS Alexis</v>
      </c>
      <c r="N6" s="284"/>
      <c r="O6" s="285"/>
      <c r="P6" s="106">
        <v>21</v>
      </c>
      <c r="Q6" s="107">
        <v>22</v>
      </c>
      <c r="R6" s="283" t="str">
        <f>'Clb Q'!H20</f>
        <v>MAYOT Tiphaine</v>
      </c>
      <c r="S6" s="284"/>
      <c r="T6" s="285"/>
    </row>
    <row r="7" spans="2:21" s="25" customFormat="1" ht="22.05" customHeight="1" outlineLevel="1">
      <c r="C7" s="283" t="str">
        <f>'Clb Q'!B5</f>
        <v>QUINSON Françoise</v>
      </c>
      <c r="D7" s="284"/>
      <c r="E7" s="285"/>
      <c r="F7" s="108">
        <v>23</v>
      </c>
      <c r="G7" s="109">
        <v>24</v>
      </c>
      <c r="H7" s="283" t="str">
        <f>'Clb Q'!H5</f>
        <v>PÈRE Laurent</v>
      </c>
      <c r="I7" s="284"/>
      <c r="J7" s="285"/>
      <c r="M7" s="283" t="str">
        <f>'Clb Q'!B21</f>
        <v>LACROIX Lauriane</v>
      </c>
      <c r="N7" s="284"/>
      <c r="O7" s="285"/>
      <c r="P7" s="108">
        <v>23</v>
      </c>
      <c r="Q7" s="109">
        <v>24</v>
      </c>
      <c r="R7" s="283" t="str">
        <f>'Clb Q'!H21</f>
        <v>LAUNAY Aloïs</v>
      </c>
      <c r="S7" s="284"/>
      <c r="T7" s="285"/>
    </row>
    <row r="8" spans="2:21" s="25" customFormat="1" ht="22.05" customHeight="1" outlineLevel="1">
      <c r="C8" s="283" t="str">
        <f>'Clb Q'!B6</f>
        <v>PACORET Hugo</v>
      </c>
      <c r="D8" s="284"/>
      <c r="E8" s="285"/>
      <c r="F8" s="108">
        <v>25</v>
      </c>
      <c r="G8" s="109">
        <v>2</v>
      </c>
      <c r="H8" s="283" t="str">
        <f>'Clb Q'!H6</f>
        <v>DUQUENOIS Christophe</v>
      </c>
      <c r="I8" s="284"/>
      <c r="J8" s="285"/>
      <c r="M8" s="283" t="str">
        <f>'Clb Q'!B22</f>
        <v>DHONT Hugo</v>
      </c>
      <c r="N8" s="284"/>
      <c r="O8" s="285"/>
      <c r="P8" s="108">
        <v>25</v>
      </c>
      <c r="Q8" s="109">
        <v>26</v>
      </c>
      <c r="R8" s="283" t="str">
        <f>'Clb Q'!H22</f>
        <v>FORGE Mathys</v>
      </c>
      <c r="S8" s="284"/>
      <c r="T8" s="285"/>
    </row>
    <row r="9" spans="2:21" s="25" customFormat="1" ht="22.05" customHeight="1" outlineLevel="1">
      <c r="C9" s="283" t="str">
        <f>'Clb Q'!B7</f>
        <v>COTTEL Agnès</v>
      </c>
      <c r="D9" s="284"/>
      <c r="E9" s="285"/>
      <c r="F9" s="108">
        <v>27</v>
      </c>
      <c r="G9" s="109">
        <v>28</v>
      </c>
      <c r="H9" s="283" t="str">
        <f>'Clb Q'!H7</f>
        <v>BEAL Bruno</v>
      </c>
      <c r="I9" s="284"/>
      <c r="J9" s="285"/>
      <c r="M9" s="283" t="str">
        <f>'Clb Q'!B23</f>
        <v>VENET Léna</v>
      </c>
      <c r="N9" s="284"/>
      <c r="O9" s="285"/>
      <c r="P9" s="108">
        <v>27</v>
      </c>
      <c r="Q9" s="109">
        <v>28</v>
      </c>
      <c r="R9" s="283" t="str">
        <f>'Clb Q'!H23</f>
        <v>MAZILLE Axelle</v>
      </c>
      <c r="S9" s="284"/>
      <c r="T9" s="285"/>
    </row>
    <row r="10" spans="2:21" s="25" customFormat="1" ht="22.05" customHeight="1" outlineLevel="1" thickBot="1">
      <c r="C10" s="283" t="str">
        <f>'Clb Q'!B8</f>
        <v>DELAYE Olivier</v>
      </c>
      <c r="D10" s="284"/>
      <c r="E10" s="285"/>
      <c r="F10" s="110">
        <v>29</v>
      </c>
      <c r="G10" s="111">
        <v>30</v>
      </c>
      <c r="H10" s="283" t="str">
        <f>'Clb Q'!H8</f>
        <v>DURIEUX Patrick</v>
      </c>
      <c r="I10" s="284"/>
      <c r="J10" s="285"/>
      <c r="M10" s="283" t="str">
        <f>'Clb Q'!B24</f>
        <v>VENET Eric</v>
      </c>
      <c r="N10" s="284"/>
      <c r="O10" s="285"/>
      <c r="P10" s="110">
        <v>29</v>
      </c>
      <c r="Q10" s="111">
        <v>30</v>
      </c>
      <c r="R10" s="283" t="str">
        <f>'Clb Q'!H24</f>
        <v>CHAIZE Arthur</v>
      </c>
      <c r="S10" s="284"/>
      <c r="T10" s="285"/>
    </row>
    <row r="11" spans="2:21" ht="22.05" customHeight="1">
      <c r="B11" s="26">
        <f>IF(E11="","",IF(E11&gt;2,1,0))</f>
        <v>0</v>
      </c>
      <c r="C11" s="262">
        <f>E11+E12+E13+E14+E15+E16+E17</f>
        <v>4</v>
      </c>
      <c r="D11" s="263"/>
      <c r="E11" s="58">
        <v>1</v>
      </c>
      <c r="F11" s="267"/>
      <c r="G11" s="268"/>
      <c r="H11" s="58"/>
      <c r="I11" s="262">
        <f>H11+H12+H13+H14+H15+H16+H17</f>
        <v>0</v>
      </c>
      <c r="J11" s="263"/>
      <c r="K11" s="44" t="str">
        <f>IF(H11="","",IF(H11&gt;2,1,0))</f>
        <v/>
      </c>
      <c r="L11" s="26" t="str">
        <f>IF(O11="","",IF(O11&gt;2,1,0))</f>
        <v/>
      </c>
      <c r="M11" s="262">
        <f>O11+O12+O13+O14+O15+O16+O17</f>
        <v>4</v>
      </c>
      <c r="N11" s="263"/>
      <c r="O11" s="58"/>
      <c r="P11" s="267"/>
      <c r="Q11" s="268"/>
      <c r="R11" s="58">
        <v>1</v>
      </c>
      <c r="S11" s="262">
        <f>R11+R12+R13+R14+R15+R16+R17</f>
        <v>2</v>
      </c>
      <c r="T11" s="263"/>
      <c r="U11" s="44">
        <f t="shared" ref="U11:U17" si="0">IF(R11="","",IF(R11&gt;2,1,0))</f>
        <v>0</v>
      </c>
    </row>
    <row r="12" spans="2:21" ht="22.05" customHeight="1">
      <c r="B12" s="26">
        <f t="shared" ref="B12:B17" si="1">IF(E12="","",IF(E12&gt;2,1,0))</f>
        <v>0</v>
      </c>
      <c r="C12" s="264"/>
      <c r="D12" s="265"/>
      <c r="E12" s="59">
        <v>1</v>
      </c>
      <c r="F12" s="258"/>
      <c r="G12" s="259"/>
      <c r="H12" s="59"/>
      <c r="I12" s="264"/>
      <c r="J12" s="265"/>
      <c r="K12" s="44" t="str">
        <f t="shared" ref="K12:K17" si="2">IF(H12="","",IF(H12&gt;2,1,0))</f>
        <v/>
      </c>
      <c r="L12" s="26">
        <f t="shared" ref="L12:L17" si="3">IF(O12="","",IF(O12&gt;2,1,0))</f>
        <v>0</v>
      </c>
      <c r="M12" s="264"/>
      <c r="N12" s="265"/>
      <c r="O12" s="59">
        <v>1</v>
      </c>
      <c r="P12" s="258"/>
      <c r="Q12" s="259"/>
      <c r="R12" s="59"/>
      <c r="S12" s="264"/>
      <c r="T12" s="265"/>
      <c r="U12" s="44" t="str">
        <f t="shared" si="0"/>
        <v/>
      </c>
    </row>
    <row r="13" spans="2:21" ht="22.05" customHeight="1">
      <c r="B13" s="26">
        <f t="shared" si="1"/>
        <v>0</v>
      </c>
      <c r="C13" s="264"/>
      <c r="D13" s="265"/>
      <c r="E13" s="59">
        <v>1</v>
      </c>
      <c r="F13" s="258"/>
      <c r="G13" s="259"/>
      <c r="H13" s="59"/>
      <c r="I13" s="264"/>
      <c r="J13" s="265"/>
      <c r="K13" s="44" t="str">
        <f t="shared" si="2"/>
        <v/>
      </c>
      <c r="L13" s="26">
        <f t="shared" si="3"/>
        <v>0</v>
      </c>
      <c r="M13" s="264"/>
      <c r="N13" s="265"/>
      <c r="O13" s="59">
        <v>1</v>
      </c>
      <c r="P13" s="258"/>
      <c r="Q13" s="259"/>
      <c r="R13" s="59"/>
      <c r="S13" s="264"/>
      <c r="T13" s="265"/>
      <c r="U13" s="44" t="str">
        <f t="shared" si="0"/>
        <v/>
      </c>
    </row>
    <row r="14" spans="2:21" ht="22.05" customHeight="1">
      <c r="B14" s="26">
        <f t="shared" si="1"/>
        <v>0</v>
      </c>
      <c r="C14" s="264"/>
      <c r="D14" s="265"/>
      <c r="E14" s="59">
        <v>1</v>
      </c>
      <c r="F14" s="258"/>
      <c r="G14" s="259"/>
      <c r="H14" s="59"/>
      <c r="I14" s="264"/>
      <c r="J14" s="265"/>
      <c r="K14" s="44" t="str">
        <f t="shared" si="2"/>
        <v/>
      </c>
      <c r="L14" s="26">
        <f t="shared" si="3"/>
        <v>0</v>
      </c>
      <c r="M14" s="264"/>
      <c r="N14" s="265"/>
      <c r="O14" s="59">
        <v>1</v>
      </c>
      <c r="P14" s="258"/>
      <c r="Q14" s="259"/>
      <c r="R14" s="59"/>
      <c r="S14" s="264"/>
      <c r="T14" s="265"/>
      <c r="U14" s="44" t="str">
        <f t="shared" si="0"/>
        <v/>
      </c>
    </row>
    <row r="15" spans="2:21" ht="22.05" customHeight="1">
      <c r="B15" s="26" t="str">
        <f t="shared" si="1"/>
        <v/>
      </c>
      <c r="C15" s="264"/>
      <c r="D15" s="265"/>
      <c r="E15" s="59"/>
      <c r="F15" s="258"/>
      <c r="G15" s="259"/>
      <c r="H15" s="59"/>
      <c r="I15" s="264"/>
      <c r="J15" s="265"/>
      <c r="K15" s="44" t="str">
        <f t="shared" si="2"/>
        <v/>
      </c>
      <c r="L15" s="26" t="str">
        <f t="shared" si="3"/>
        <v/>
      </c>
      <c r="M15" s="264"/>
      <c r="N15" s="265"/>
      <c r="O15" s="59"/>
      <c r="P15" s="258"/>
      <c r="Q15" s="259"/>
      <c r="R15" s="59">
        <v>1</v>
      </c>
      <c r="S15" s="264"/>
      <c r="T15" s="265"/>
      <c r="U15" s="44">
        <f t="shared" si="0"/>
        <v>0</v>
      </c>
    </row>
    <row r="16" spans="2:21" ht="22.05" customHeight="1">
      <c r="B16" s="26" t="str">
        <f t="shared" si="1"/>
        <v/>
      </c>
      <c r="C16" s="264"/>
      <c r="D16" s="265"/>
      <c r="E16" s="59"/>
      <c r="F16" s="258"/>
      <c r="G16" s="259"/>
      <c r="H16" s="59"/>
      <c r="I16" s="264"/>
      <c r="J16" s="265"/>
      <c r="K16" s="44" t="str">
        <f t="shared" si="2"/>
        <v/>
      </c>
      <c r="L16" s="26">
        <f t="shared" si="3"/>
        <v>0</v>
      </c>
      <c r="M16" s="264"/>
      <c r="N16" s="265"/>
      <c r="O16" s="59">
        <v>1</v>
      </c>
      <c r="P16" s="258"/>
      <c r="Q16" s="259"/>
      <c r="R16" s="59"/>
      <c r="S16" s="264"/>
      <c r="T16" s="265"/>
      <c r="U16" s="44" t="str">
        <f t="shared" si="0"/>
        <v/>
      </c>
    </row>
    <row r="17" spans="2:21" ht="22.05" customHeight="1" thickBot="1">
      <c r="B17" s="26" t="str">
        <f t="shared" si="1"/>
        <v/>
      </c>
      <c r="C17" s="264"/>
      <c r="D17" s="265"/>
      <c r="E17" s="60"/>
      <c r="F17" s="258"/>
      <c r="G17" s="259"/>
      <c r="H17" s="60"/>
      <c r="I17" s="264"/>
      <c r="J17" s="265"/>
      <c r="K17" s="44" t="str">
        <f t="shared" si="2"/>
        <v/>
      </c>
      <c r="L17" s="26" t="str">
        <f t="shared" si="3"/>
        <v/>
      </c>
      <c r="M17" s="264"/>
      <c r="N17" s="265"/>
      <c r="O17" s="60"/>
      <c r="P17" s="258"/>
      <c r="Q17" s="259"/>
      <c r="R17" s="60"/>
      <c r="S17" s="264"/>
      <c r="T17" s="265"/>
      <c r="U17" s="44" t="str">
        <f t="shared" si="0"/>
        <v/>
      </c>
    </row>
    <row r="18" spans="2:21" ht="30" customHeight="1" thickBot="1"/>
    <row r="19" spans="2:21" s="24" customFormat="1" ht="28.05" customHeight="1" thickBot="1">
      <c r="C19" s="286" t="str">
        <f>'Clb Q'!I26</f>
        <v>USO</v>
      </c>
      <c r="D19" s="287"/>
      <c r="E19" s="288"/>
      <c r="F19" s="260" t="s">
        <v>45</v>
      </c>
      <c r="G19" s="261"/>
      <c r="H19" s="286" t="str">
        <f>'Clb Q'!C26</f>
        <v>CTB</v>
      </c>
      <c r="I19" s="287"/>
      <c r="J19" s="288"/>
      <c r="M19" s="286" t="str">
        <f>'Clb Q'!I10</f>
        <v>CR</v>
      </c>
      <c r="N19" s="287"/>
      <c r="O19" s="288"/>
      <c r="P19" s="260" t="s">
        <v>45</v>
      </c>
      <c r="Q19" s="261"/>
      <c r="R19" s="286" t="str">
        <f>'Clb Q'!C10</f>
        <v>STSM</v>
      </c>
      <c r="S19" s="287"/>
      <c r="T19" s="288"/>
    </row>
    <row r="20" spans="2:21" s="25" customFormat="1" ht="22.05" customHeight="1" outlineLevel="1">
      <c r="C20" s="283" t="str">
        <f>'Clb Q'!H28</f>
        <v>LANDIM MONTEIRO Frédérique</v>
      </c>
      <c r="D20" s="284"/>
      <c r="E20" s="285"/>
      <c r="F20" s="106">
        <v>31</v>
      </c>
      <c r="G20" s="107">
        <v>32</v>
      </c>
      <c r="H20" s="283" t="str">
        <f>'Clb Q'!B28</f>
        <v>RAUNIER Aurore</v>
      </c>
      <c r="I20" s="284"/>
      <c r="J20" s="285"/>
      <c r="M20" s="283" t="str">
        <f>'Clb Q'!H12</f>
        <v>GUYON Loïc</v>
      </c>
      <c r="N20" s="284"/>
      <c r="O20" s="285"/>
      <c r="P20" s="106">
        <v>31</v>
      </c>
      <c r="Q20" s="107">
        <v>32</v>
      </c>
      <c r="R20" s="283" t="str">
        <f>'Clb Q'!B12</f>
        <v>STEINER Julien</v>
      </c>
      <c r="S20" s="284"/>
      <c r="T20" s="285"/>
    </row>
    <row r="21" spans="2:21" s="25" customFormat="1" ht="22.05" customHeight="1" outlineLevel="1">
      <c r="C21" s="283" t="str">
        <f>'Clb Q'!H29</f>
        <v>BEAUME Célia</v>
      </c>
      <c r="D21" s="284"/>
      <c r="E21" s="285"/>
      <c r="F21" s="108">
        <v>33</v>
      </c>
      <c r="G21" s="109">
        <v>4</v>
      </c>
      <c r="H21" s="283" t="str">
        <f>'Clb Q'!B29</f>
        <v>KICHENAMA Raphaël</v>
      </c>
      <c r="I21" s="284"/>
      <c r="J21" s="285"/>
      <c r="M21" s="283" t="str">
        <f>'Clb Q'!H13</f>
        <v>POITOUX Jean-Marc</v>
      </c>
      <c r="N21" s="284"/>
      <c r="O21" s="285"/>
      <c r="P21" s="108">
        <v>33</v>
      </c>
      <c r="Q21" s="109">
        <v>34</v>
      </c>
      <c r="R21" s="283" t="str">
        <f>'Clb Q'!B13</f>
        <v>POPIER Théo</v>
      </c>
      <c r="S21" s="284"/>
      <c r="T21" s="285"/>
    </row>
    <row r="22" spans="2:21" s="25" customFormat="1" ht="22.05" customHeight="1" outlineLevel="1">
      <c r="C22" s="283" t="str">
        <f>'Clb Q'!H30</f>
        <v>VEIL Guillaume</v>
      </c>
      <c r="D22" s="284"/>
      <c r="E22" s="285"/>
      <c r="F22" s="108">
        <v>35</v>
      </c>
      <c r="G22" s="109">
        <v>36</v>
      </c>
      <c r="H22" s="283" t="str">
        <f>'Clb Q'!B30</f>
        <v>JOUSSERAND-MORNAY Alice</v>
      </c>
      <c r="I22" s="284"/>
      <c r="J22" s="285"/>
      <c r="M22" s="283" t="str">
        <f>'Clb Q'!H14</f>
        <v>NICOLLET Léa</v>
      </c>
      <c r="N22" s="284"/>
      <c r="O22" s="285"/>
      <c r="P22" s="108">
        <v>35</v>
      </c>
      <c r="Q22" s="109">
        <v>36</v>
      </c>
      <c r="R22" s="283" t="str">
        <f>'Clb Q'!B14</f>
        <v>JACQUETIN Olivier</v>
      </c>
      <c r="S22" s="284"/>
      <c r="T22" s="285"/>
    </row>
    <row r="23" spans="2:21" s="25" customFormat="1" ht="22.05" customHeight="1" outlineLevel="1">
      <c r="C23" s="283" t="str">
        <f>'Clb Q'!H31</f>
        <v>VEIL Amaury</v>
      </c>
      <c r="D23" s="284"/>
      <c r="E23" s="285"/>
      <c r="F23" s="108">
        <v>37</v>
      </c>
      <c r="G23" s="109">
        <v>38</v>
      </c>
      <c r="H23" s="283" t="str">
        <f>'Clb Q'!B31</f>
        <v>DUPERRAI LAINE Eliott</v>
      </c>
      <c r="I23" s="284"/>
      <c r="J23" s="285"/>
      <c r="M23" s="283" t="str">
        <f>'Clb Q'!H15</f>
        <v>LEONARD Matias</v>
      </c>
      <c r="N23" s="284"/>
      <c r="O23" s="285"/>
      <c r="P23" s="108">
        <v>37</v>
      </c>
      <c r="Q23" s="109">
        <v>38</v>
      </c>
      <c r="R23" s="283" t="str">
        <f>'Clb Q'!B15</f>
        <v>DURAND Juliette</v>
      </c>
      <c r="S23" s="284"/>
      <c r="T23" s="285"/>
    </row>
    <row r="24" spans="2:21" s="25" customFormat="1" ht="22.05" customHeight="1" outlineLevel="1" thickBot="1">
      <c r="C24" s="283" t="str">
        <f>'Clb Q'!H32</f>
        <v>BEAUME Didier</v>
      </c>
      <c r="D24" s="284"/>
      <c r="E24" s="285"/>
      <c r="F24" s="110">
        <v>39</v>
      </c>
      <c r="G24" s="111">
        <v>40</v>
      </c>
      <c r="H24" s="283" t="str">
        <f>'Clb Q'!B32</f>
        <v>CORREAUD André</v>
      </c>
      <c r="I24" s="284"/>
      <c r="J24" s="285"/>
      <c r="M24" s="283" t="str">
        <f>'Clb Q'!H16</f>
        <v>DESCHANEL Timéo</v>
      </c>
      <c r="N24" s="284"/>
      <c r="O24" s="285"/>
      <c r="P24" s="110">
        <v>39</v>
      </c>
      <c r="Q24" s="111">
        <v>40</v>
      </c>
      <c r="R24" s="283" t="str">
        <f>'Clb Q'!B16</f>
        <v>BERLANDE Julianne</v>
      </c>
      <c r="S24" s="284"/>
      <c r="T24" s="285"/>
    </row>
    <row r="25" spans="2:21" ht="22.05" customHeight="1">
      <c r="B25" s="26" t="str">
        <f>IF(E25="","",IF(E25&gt;2,1,0))</f>
        <v/>
      </c>
      <c r="C25" s="262">
        <f>E25+E26+E27+E28+E29+E30+E31</f>
        <v>2</v>
      </c>
      <c r="D25" s="263"/>
      <c r="E25" s="58"/>
      <c r="F25" s="267"/>
      <c r="G25" s="268"/>
      <c r="H25" s="58">
        <v>1</v>
      </c>
      <c r="I25" s="262">
        <f>H25+H26+H27+H28+H29+H30+H31</f>
        <v>4</v>
      </c>
      <c r="J25" s="263"/>
      <c r="K25" s="44">
        <f>IF(H25="","",IF(H25&gt;2,1,0))</f>
        <v>0</v>
      </c>
      <c r="L25" s="26" t="str">
        <f>IF(O25="","",IF(O25&gt;2,1,0))</f>
        <v/>
      </c>
      <c r="M25" s="262">
        <f>O25+O26+O27+O28+O29+O30+O31</f>
        <v>0</v>
      </c>
      <c r="N25" s="263"/>
      <c r="O25" s="58"/>
      <c r="P25" s="267"/>
      <c r="Q25" s="268"/>
      <c r="R25" s="58">
        <v>1</v>
      </c>
      <c r="S25" s="262">
        <f>R25+R26+R27+R28+R29+R30+R31</f>
        <v>4</v>
      </c>
      <c r="T25" s="263"/>
      <c r="U25" s="44">
        <f>IF(R25="","",IF(R25&gt;2,1,0))</f>
        <v>0</v>
      </c>
    </row>
    <row r="26" spans="2:21" ht="22.05" customHeight="1">
      <c r="B26" s="26">
        <f t="shared" ref="B26:B31" si="4">IF(E26="","",IF(E26&gt;2,1,0))</f>
        <v>0</v>
      </c>
      <c r="C26" s="264"/>
      <c r="D26" s="265"/>
      <c r="E26" s="59">
        <v>1</v>
      </c>
      <c r="F26" s="258"/>
      <c r="G26" s="259"/>
      <c r="H26" s="59"/>
      <c r="I26" s="264"/>
      <c r="J26" s="265"/>
      <c r="K26" s="44" t="str">
        <f t="shared" ref="K26:K31" si="5">IF(H26="","",IF(H26&gt;2,1,0))</f>
        <v/>
      </c>
      <c r="L26" s="26" t="str">
        <f t="shared" ref="L26:L31" si="6">IF(O26="","",IF(O26&gt;2,1,0))</f>
        <v/>
      </c>
      <c r="M26" s="264"/>
      <c r="N26" s="265"/>
      <c r="O26" s="59"/>
      <c r="P26" s="258"/>
      <c r="Q26" s="259"/>
      <c r="R26" s="59">
        <v>1</v>
      </c>
      <c r="S26" s="264"/>
      <c r="T26" s="265"/>
      <c r="U26" s="44">
        <f t="shared" ref="U26:U31" si="7">IF(R26="","",IF(R26&gt;2,1,0))</f>
        <v>0</v>
      </c>
    </row>
    <row r="27" spans="2:21" ht="22.05" customHeight="1">
      <c r="B27" s="26">
        <f t="shared" si="4"/>
        <v>0</v>
      </c>
      <c r="C27" s="264"/>
      <c r="D27" s="265"/>
      <c r="E27" s="59">
        <v>1</v>
      </c>
      <c r="F27" s="258"/>
      <c r="G27" s="259"/>
      <c r="H27" s="59"/>
      <c r="I27" s="264"/>
      <c r="J27" s="265"/>
      <c r="K27" s="44" t="str">
        <f t="shared" si="5"/>
        <v/>
      </c>
      <c r="L27" s="26" t="str">
        <f t="shared" si="6"/>
        <v/>
      </c>
      <c r="M27" s="264"/>
      <c r="N27" s="265"/>
      <c r="O27" s="59"/>
      <c r="P27" s="258"/>
      <c r="Q27" s="259"/>
      <c r="R27" s="59">
        <v>1</v>
      </c>
      <c r="S27" s="264"/>
      <c r="T27" s="265"/>
      <c r="U27" s="44">
        <f t="shared" si="7"/>
        <v>0</v>
      </c>
    </row>
    <row r="28" spans="2:21" ht="22.05" customHeight="1">
      <c r="B28" s="26" t="str">
        <f t="shared" si="4"/>
        <v/>
      </c>
      <c r="C28" s="264"/>
      <c r="D28" s="265"/>
      <c r="E28" s="59"/>
      <c r="F28" s="258"/>
      <c r="G28" s="259"/>
      <c r="H28" s="59">
        <v>1</v>
      </c>
      <c r="I28" s="264"/>
      <c r="J28" s="265"/>
      <c r="K28" s="44">
        <f t="shared" si="5"/>
        <v>0</v>
      </c>
      <c r="L28" s="26" t="str">
        <f t="shared" si="6"/>
        <v/>
      </c>
      <c r="M28" s="264"/>
      <c r="N28" s="265"/>
      <c r="O28" s="59"/>
      <c r="P28" s="258"/>
      <c r="Q28" s="259"/>
      <c r="R28" s="59">
        <v>1</v>
      </c>
      <c r="S28" s="264"/>
      <c r="T28" s="265"/>
      <c r="U28" s="44">
        <f t="shared" si="7"/>
        <v>0</v>
      </c>
    </row>
    <row r="29" spans="2:21" ht="22.05" customHeight="1">
      <c r="B29" s="26" t="str">
        <f t="shared" si="4"/>
        <v/>
      </c>
      <c r="C29" s="264"/>
      <c r="D29" s="265"/>
      <c r="E29" s="59"/>
      <c r="F29" s="258"/>
      <c r="G29" s="259"/>
      <c r="H29" s="59">
        <v>1</v>
      </c>
      <c r="I29" s="264"/>
      <c r="J29" s="265"/>
      <c r="K29" s="44">
        <f t="shared" si="5"/>
        <v>0</v>
      </c>
      <c r="L29" s="26" t="str">
        <f t="shared" si="6"/>
        <v/>
      </c>
      <c r="M29" s="264"/>
      <c r="N29" s="265"/>
      <c r="O29" s="59"/>
      <c r="P29" s="258"/>
      <c r="Q29" s="259"/>
      <c r="R29" s="59"/>
      <c r="S29" s="264"/>
      <c r="T29" s="265"/>
      <c r="U29" s="44" t="str">
        <f t="shared" si="7"/>
        <v/>
      </c>
    </row>
    <row r="30" spans="2:21" ht="22.05" customHeight="1">
      <c r="B30" s="26" t="str">
        <f t="shared" si="4"/>
        <v/>
      </c>
      <c r="C30" s="264"/>
      <c r="D30" s="265"/>
      <c r="E30" s="59"/>
      <c r="F30" s="258"/>
      <c r="G30" s="259"/>
      <c r="H30" s="59">
        <v>1</v>
      </c>
      <c r="I30" s="264"/>
      <c r="J30" s="265"/>
      <c r="K30" s="44">
        <f t="shared" si="5"/>
        <v>0</v>
      </c>
      <c r="L30" s="26" t="str">
        <f t="shared" si="6"/>
        <v/>
      </c>
      <c r="M30" s="264"/>
      <c r="N30" s="265"/>
      <c r="O30" s="59"/>
      <c r="P30" s="258"/>
      <c r="Q30" s="259"/>
      <c r="R30" s="59"/>
      <c r="S30" s="264"/>
      <c r="T30" s="265"/>
      <c r="U30" s="44" t="str">
        <f t="shared" si="7"/>
        <v/>
      </c>
    </row>
    <row r="31" spans="2:21" ht="22.05" customHeight="1" thickBot="1">
      <c r="B31" s="26" t="str">
        <f t="shared" si="4"/>
        <v/>
      </c>
      <c r="C31" s="264"/>
      <c r="D31" s="265"/>
      <c r="E31" s="60"/>
      <c r="F31" s="258"/>
      <c r="G31" s="259"/>
      <c r="H31" s="60"/>
      <c r="I31" s="264"/>
      <c r="J31" s="265"/>
      <c r="K31" s="44" t="str">
        <f t="shared" si="5"/>
        <v/>
      </c>
      <c r="L31" s="26" t="str">
        <f t="shared" si="6"/>
        <v/>
      </c>
      <c r="M31" s="264"/>
      <c r="N31" s="265"/>
      <c r="O31" s="60"/>
      <c r="P31" s="258"/>
      <c r="Q31" s="259"/>
      <c r="R31" s="60"/>
      <c r="S31" s="264"/>
      <c r="T31" s="265"/>
      <c r="U31" s="44" t="str">
        <f t="shared" si="7"/>
        <v/>
      </c>
    </row>
    <row r="32" spans="2:21" ht="400.05" hidden="1" customHeight="1" outlineLevel="1"/>
    <row r="33" spans="2:21" ht="100.05" hidden="1" customHeight="1" outlineLevel="1"/>
    <row r="34" spans="2:21" ht="60" customHeight="1" collapsed="1" thickBot="1">
      <c r="B34" s="269" t="s">
        <v>1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2:21" s="24" customFormat="1" ht="28.05" customHeight="1" thickBot="1">
      <c r="C35" s="292" t="str">
        <f>IF(H5="",C5,IF(C11="","",IF(I11="","",IF(C11&gt;3,C5,IF(I11&gt;3,H5,"")))))</f>
        <v>SEST</v>
      </c>
      <c r="D35" s="293"/>
      <c r="E35" s="294"/>
      <c r="F35" s="260" t="s">
        <v>45</v>
      </c>
      <c r="G35" s="261"/>
      <c r="H35" s="292" t="str">
        <f>IF(C19="",H19,IF(C25="","",IF(I25="","",IF(C25&gt;3,C19,IF(I25&gt;3,H19,"")))))</f>
        <v>CTB</v>
      </c>
      <c r="I35" s="293"/>
      <c r="J35" s="294"/>
      <c r="K35" s="23"/>
      <c r="M35" s="292" t="str">
        <f>IF(R5="",M5,IF(M11="","",IF(S11="","",IF(M11&gt;3,M5,IF(S11&gt;3,R5,"")))))</f>
        <v>STBB</v>
      </c>
      <c r="N35" s="293"/>
      <c r="O35" s="294"/>
      <c r="P35" s="260" t="s">
        <v>45</v>
      </c>
      <c r="Q35" s="261"/>
      <c r="R35" s="292" t="s">
        <v>82</v>
      </c>
      <c r="S35" s="293"/>
      <c r="T35" s="294"/>
    </row>
    <row r="36" spans="2:21" s="25" customFormat="1" ht="22.05" customHeight="1" outlineLevel="1">
      <c r="C36" s="270" t="str">
        <f>IF(H6="",C6,IF(C11="","",IF(I11="","",IF(C11&gt;3,C6,IF(I11&gt;3,H6,"")))))</f>
        <v>BONELLI Angéline</v>
      </c>
      <c r="D36" s="271"/>
      <c r="E36" s="272"/>
      <c r="F36" s="112">
        <v>21</v>
      </c>
      <c r="G36" s="113">
        <v>22</v>
      </c>
      <c r="H36" s="270" t="str">
        <f>IF(C20="",H20,IF(C25="","",IF(I25="","",IF(C25&gt;3,C20,IF(I25&gt;3,H20,"")))))</f>
        <v>RAUNIER Aurore</v>
      </c>
      <c r="I36" s="271"/>
      <c r="J36" s="272"/>
      <c r="K36" s="23"/>
      <c r="M36" s="270" t="str">
        <f>IF(R6="",M6,IF(M11="","",IF(S11="","",IF(M11&gt;3,M6,IF(S11&gt;3,R6,"")))))</f>
        <v>MARAIS Alexis</v>
      </c>
      <c r="N36" s="271"/>
      <c r="O36" s="272"/>
      <c r="P36" s="112">
        <v>31</v>
      </c>
      <c r="Q36" s="113">
        <v>32</v>
      </c>
      <c r="R36" s="270" t="s">
        <v>110</v>
      </c>
      <c r="S36" s="271"/>
      <c r="T36" s="272"/>
      <c r="U36" s="45"/>
    </row>
    <row r="37" spans="2:21" s="25" customFormat="1" ht="22.05" customHeight="1" outlineLevel="1">
      <c r="C37" s="270" t="str">
        <f>IF(H7="",C7,IF(C11="","",IF(I11="","",IF(C11&gt;3,C7,IF(I11&gt;3,H7,"")))))</f>
        <v>QUINSON Françoise</v>
      </c>
      <c r="D37" s="271"/>
      <c r="E37" s="272"/>
      <c r="F37" s="114">
        <v>23</v>
      </c>
      <c r="G37" s="115">
        <v>24</v>
      </c>
      <c r="H37" s="270" t="str">
        <f>IF(C21="",H21,IF(C25="","",IF(I25="","",IF(C25&gt;3,C21,IF(I25&gt;3,H21,"")))))</f>
        <v>KICHENAMA Raphaël</v>
      </c>
      <c r="I37" s="271"/>
      <c r="J37" s="272"/>
      <c r="K37" s="23"/>
      <c r="M37" s="270" t="str">
        <f>IF(R7="",M7,IF(M11="","",IF(S11="","",IF(M11&gt;3,M7,IF(S11&gt;3,R7,"")))))</f>
        <v>LACROIX Lauriane</v>
      </c>
      <c r="N37" s="271"/>
      <c r="O37" s="272"/>
      <c r="P37" s="114">
        <v>33</v>
      </c>
      <c r="Q37" s="115">
        <v>34</v>
      </c>
      <c r="R37" s="270" t="s">
        <v>83</v>
      </c>
      <c r="S37" s="271"/>
      <c r="T37" s="272"/>
      <c r="U37" s="45"/>
    </row>
    <row r="38" spans="2:21" s="25" customFormat="1" ht="22.05" customHeight="1" outlineLevel="1">
      <c r="C38" s="270" t="str">
        <f>IF(H8="",C8,IF(C11="","",IF(I11="","",IF(C11&gt;3,C8,IF(I11&gt;3,H8,"")))))</f>
        <v>PACORET Hugo</v>
      </c>
      <c r="D38" s="271"/>
      <c r="E38" s="272"/>
      <c r="F38" s="114">
        <v>25</v>
      </c>
      <c r="G38" s="115">
        <v>26</v>
      </c>
      <c r="H38" s="270" t="str">
        <f>IF(C22="",H22,IF(C25="","",IF(I25="","",IF(C25&gt;3,C22,IF(I25&gt;3,H22,"")))))</f>
        <v>JOUSSERAND-MORNAY Alice</v>
      </c>
      <c r="I38" s="271"/>
      <c r="J38" s="272"/>
      <c r="K38" s="23"/>
      <c r="M38" s="270" t="str">
        <f>IF(R8="",M8,IF(M11="","",IF(S11="","",IF(M11&gt;3,M8,IF(S11&gt;3,R8,"")))))</f>
        <v>DHONT Hugo</v>
      </c>
      <c r="N38" s="271"/>
      <c r="O38" s="272"/>
      <c r="P38" s="114">
        <v>35</v>
      </c>
      <c r="Q38" s="115">
        <v>36</v>
      </c>
      <c r="R38" s="270" t="s">
        <v>84</v>
      </c>
      <c r="S38" s="271"/>
      <c r="T38" s="272"/>
      <c r="U38" s="45"/>
    </row>
    <row r="39" spans="2:21" s="25" customFormat="1" ht="22.05" customHeight="1" outlineLevel="1">
      <c r="C39" s="270" t="str">
        <f>IF(H9="",C9,IF(C11="","",IF(I11="","",IF(C11&gt;3,C9,IF(I11&gt;3,H9,"")))))</f>
        <v>COTTEL Agnès</v>
      </c>
      <c r="D39" s="271"/>
      <c r="E39" s="272"/>
      <c r="F39" s="114">
        <v>27</v>
      </c>
      <c r="G39" s="115">
        <v>28</v>
      </c>
      <c r="H39" s="270" t="str">
        <f>IF(C23="",H23,IF(C25="","",IF(I25="","",IF(C25&gt;3,C23,IF(I25&gt;3,H23,"")))))</f>
        <v>DUPERRAI LAINE Eliott</v>
      </c>
      <c r="I39" s="271"/>
      <c r="J39" s="272"/>
      <c r="K39" s="23"/>
      <c r="M39" s="270" t="str">
        <f>IF(R9="",M9,IF(M11="","",IF(S11="","",IF(M11&gt;3,M9,IF(S11&gt;3,R9,"")))))</f>
        <v>VENET Léna</v>
      </c>
      <c r="N39" s="271"/>
      <c r="O39" s="272"/>
      <c r="P39" s="114">
        <v>37</v>
      </c>
      <c r="Q39" s="115">
        <v>38</v>
      </c>
      <c r="R39" s="270" t="s">
        <v>92</v>
      </c>
      <c r="S39" s="271"/>
      <c r="T39" s="272"/>
      <c r="U39" s="45"/>
    </row>
    <row r="40" spans="2:21" s="25" customFormat="1" ht="22.05" customHeight="1" outlineLevel="1" thickBot="1">
      <c r="C40" s="270" t="str">
        <f>IF(H10="",C10,IF(C11="","",IF(I11="","",IF(C11&gt;3,C10,IF(I11&gt;3,H10,"")))))</f>
        <v>DELAYE Olivier</v>
      </c>
      <c r="D40" s="271"/>
      <c r="E40" s="272"/>
      <c r="F40" s="116">
        <v>29</v>
      </c>
      <c r="G40" s="117">
        <v>30</v>
      </c>
      <c r="H40" s="270" t="str">
        <f>IF(C24="",H24,IF(C25="","",IF(I25="","",IF(C25&gt;3,C24,IF(I25&gt;3,H24,"")))))</f>
        <v>CORREAUD André</v>
      </c>
      <c r="I40" s="271"/>
      <c r="J40" s="272"/>
      <c r="K40" s="23"/>
      <c r="M40" s="270" t="str">
        <f>IF(R10="",M10,IF(M11="","",IF(S11="","",IF(M11&gt;3,M10,IF(S11&gt;3,R10,"")))))</f>
        <v>VENET Eric</v>
      </c>
      <c r="N40" s="271"/>
      <c r="O40" s="272"/>
      <c r="P40" s="116">
        <v>39</v>
      </c>
      <c r="Q40" s="117">
        <v>40</v>
      </c>
      <c r="R40" s="270" t="s">
        <v>111</v>
      </c>
      <c r="S40" s="271"/>
      <c r="T40" s="272"/>
      <c r="U40" s="45"/>
    </row>
    <row r="41" spans="2:21" ht="22.05" customHeight="1">
      <c r="B41" s="26">
        <f>IF(E41="","",IF(E41&gt;2,1,0))</f>
        <v>0</v>
      </c>
      <c r="C41" s="262">
        <f>E41+E42+E43+E44+E45+E46+E47</f>
        <v>4</v>
      </c>
      <c r="D41" s="263"/>
      <c r="E41" s="58">
        <v>1</v>
      </c>
      <c r="F41" s="267"/>
      <c r="G41" s="268"/>
      <c r="H41" s="58"/>
      <c r="I41" s="262">
        <f>H41+H42+H43+H44+H45+H46+H47</f>
        <v>0</v>
      </c>
      <c r="J41" s="263"/>
      <c r="K41" s="44" t="str">
        <f>IF(H41="","",IF(H41&gt;2,1,0))</f>
        <v/>
      </c>
      <c r="L41" s="26" t="str">
        <f>IF(O41="","",IF(O41&gt;2,1,0))</f>
        <v/>
      </c>
      <c r="M41" s="262">
        <f>O41+O42+O43+O44+O45+O46+O47</f>
        <v>2</v>
      </c>
      <c r="N41" s="263"/>
      <c r="O41" s="58"/>
      <c r="P41" s="267"/>
      <c r="Q41" s="268"/>
      <c r="R41" s="58">
        <v>1</v>
      </c>
      <c r="S41" s="262">
        <f>R41+R42+R43+R44+R45+R46+R47</f>
        <v>4</v>
      </c>
      <c r="T41" s="263"/>
      <c r="U41" s="44">
        <f>IF(R41="","",IF(R41&gt;2,1,0))</f>
        <v>0</v>
      </c>
    </row>
    <row r="42" spans="2:21" ht="22.05" customHeight="1">
      <c r="B42" s="26">
        <f t="shared" ref="B42:B47" si="8">IF(E42="","",IF(E42&gt;2,1,0))</f>
        <v>0</v>
      </c>
      <c r="C42" s="264"/>
      <c r="D42" s="265"/>
      <c r="E42" s="59">
        <v>1</v>
      </c>
      <c r="F42" s="258"/>
      <c r="G42" s="259"/>
      <c r="H42" s="59"/>
      <c r="I42" s="264"/>
      <c r="J42" s="265"/>
      <c r="K42" s="44" t="str">
        <f t="shared" ref="K42:K47" si="9">IF(H42="","",IF(H42&gt;2,1,0))</f>
        <v/>
      </c>
      <c r="L42" s="26">
        <f t="shared" ref="L42:L47" si="10">IF(O42="","",IF(O42&gt;2,1,0))</f>
        <v>0</v>
      </c>
      <c r="M42" s="264"/>
      <c r="N42" s="265"/>
      <c r="O42" s="59">
        <v>1</v>
      </c>
      <c r="P42" s="258"/>
      <c r="Q42" s="259"/>
      <c r="R42" s="59"/>
      <c r="S42" s="264"/>
      <c r="T42" s="265"/>
      <c r="U42" s="44" t="str">
        <f t="shared" ref="U42:U47" si="11">IF(R42="","",IF(R42&gt;2,1,0))</f>
        <v/>
      </c>
    </row>
    <row r="43" spans="2:21" ht="22.05" customHeight="1">
      <c r="B43" s="26">
        <f t="shared" si="8"/>
        <v>0</v>
      </c>
      <c r="C43" s="264"/>
      <c r="D43" s="265"/>
      <c r="E43" s="59">
        <v>1</v>
      </c>
      <c r="F43" s="258"/>
      <c r="G43" s="259"/>
      <c r="H43" s="59"/>
      <c r="I43" s="264"/>
      <c r="J43" s="265"/>
      <c r="K43" s="44" t="str">
        <f t="shared" si="9"/>
        <v/>
      </c>
      <c r="L43" s="26" t="str">
        <f t="shared" si="10"/>
        <v/>
      </c>
      <c r="M43" s="264"/>
      <c r="N43" s="265"/>
      <c r="O43" s="59"/>
      <c r="P43" s="258"/>
      <c r="Q43" s="259"/>
      <c r="R43" s="59">
        <v>1</v>
      </c>
      <c r="S43" s="264"/>
      <c r="T43" s="265"/>
      <c r="U43" s="44">
        <f t="shared" si="11"/>
        <v>0</v>
      </c>
    </row>
    <row r="44" spans="2:21" ht="22.05" customHeight="1">
      <c r="B44" s="26">
        <f t="shared" si="8"/>
        <v>0</v>
      </c>
      <c r="C44" s="264"/>
      <c r="D44" s="265"/>
      <c r="E44" s="59">
        <v>1</v>
      </c>
      <c r="F44" s="258"/>
      <c r="G44" s="259"/>
      <c r="H44" s="59"/>
      <c r="I44" s="264"/>
      <c r="J44" s="265"/>
      <c r="K44" s="44" t="str">
        <f t="shared" si="9"/>
        <v/>
      </c>
      <c r="L44" s="26">
        <f t="shared" si="10"/>
        <v>0</v>
      </c>
      <c r="M44" s="264"/>
      <c r="N44" s="265"/>
      <c r="O44" s="59">
        <v>1</v>
      </c>
      <c r="P44" s="258"/>
      <c r="Q44" s="259"/>
      <c r="R44" s="59"/>
      <c r="S44" s="264"/>
      <c r="T44" s="265"/>
      <c r="U44" s="44" t="str">
        <f t="shared" si="11"/>
        <v/>
      </c>
    </row>
    <row r="45" spans="2:21" ht="22.05" customHeight="1">
      <c r="B45" s="26" t="str">
        <f t="shared" si="8"/>
        <v/>
      </c>
      <c r="C45" s="264"/>
      <c r="D45" s="265"/>
      <c r="E45" s="59"/>
      <c r="F45" s="258"/>
      <c r="G45" s="259"/>
      <c r="H45" s="59"/>
      <c r="I45" s="264"/>
      <c r="J45" s="265"/>
      <c r="K45" s="44" t="str">
        <f t="shared" si="9"/>
        <v/>
      </c>
      <c r="L45" s="26" t="str">
        <f t="shared" si="10"/>
        <v/>
      </c>
      <c r="M45" s="264"/>
      <c r="N45" s="265"/>
      <c r="O45" s="59"/>
      <c r="P45" s="258"/>
      <c r="Q45" s="259"/>
      <c r="R45" s="59">
        <v>1</v>
      </c>
      <c r="S45" s="264"/>
      <c r="T45" s="265"/>
      <c r="U45" s="44">
        <f t="shared" si="11"/>
        <v>0</v>
      </c>
    </row>
    <row r="46" spans="2:21" ht="22.05" customHeight="1">
      <c r="B46" s="26" t="str">
        <f t="shared" si="8"/>
        <v/>
      </c>
      <c r="C46" s="264"/>
      <c r="D46" s="265"/>
      <c r="E46" s="59"/>
      <c r="F46" s="258"/>
      <c r="G46" s="259"/>
      <c r="H46" s="59"/>
      <c r="I46" s="264"/>
      <c r="J46" s="265"/>
      <c r="K46" s="44" t="str">
        <f t="shared" si="9"/>
        <v/>
      </c>
      <c r="L46" s="26" t="str">
        <f t="shared" si="10"/>
        <v/>
      </c>
      <c r="M46" s="264"/>
      <c r="N46" s="265"/>
      <c r="O46" s="59"/>
      <c r="P46" s="258"/>
      <c r="Q46" s="259"/>
      <c r="R46" s="59">
        <v>1</v>
      </c>
      <c r="S46" s="264"/>
      <c r="T46" s="265"/>
      <c r="U46" s="44">
        <f t="shared" si="11"/>
        <v>0</v>
      </c>
    </row>
    <row r="47" spans="2:21" ht="22.05" customHeight="1" thickBot="1">
      <c r="B47" s="26" t="str">
        <f t="shared" si="8"/>
        <v/>
      </c>
      <c r="C47" s="264"/>
      <c r="D47" s="265"/>
      <c r="E47" s="60"/>
      <c r="F47" s="258"/>
      <c r="G47" s="259"/>
      <c r="H47" s="60"/>
      <c r="I47" s="264"/>
      <c r="J47" s="265"/>
      <c r="K47" s="44" t="str">
        <f t="shared" si="9"/>
        <v/>
      </c>
      <c r="L47" s="26" t="str">
        <f t="shared" si="10"/>
        <v/>
      </c>
      <c r="M47" s="264"/>
      <c r="N47" s="265"/>
      <c r="O47" s="60"/>
      <c r="P47" s="258"/>
      <c r="Q47" s="259"/>
      <c r="R47" s="60"/>
      <c r="S47" s="264"/>
      <c r="T47" s="265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5" customHeight="1" collapsed="1" thickBot="1">
      <c r="H50" s="269" t="s">
        <v>41</v>
      </c>
      <c r="I50" s="269"/>
      <c r="J50" s="269"/>
      <c r="K50" s="269"/>
      <c r="L50" s="269"/>
      <c r="M50" s="269"/>
      <c r="N50" s="269"/>
      <c r="O50" s="269"/>
      <c r="P50" s="43"/>
    </row>
    <row r="51" spans="6:17" s="24" customFormat="1" ht="28.05" customHeight="1" thickBot="1">
      <c r="F51" s="256"/>
      <c r="G51" s="257"/>
      <c r="H51" s="289" t="s">
        <v>63</v>
      </c>
      <c r="I51" s="290"/>
      <c r="J51" s="291"/>
      <c r="K51" s="260" t="s">
        <v>45</v>
      </c>
      <c r="L51" s="261"/>
      <c r="M51" s="289" t="str">
        <f>IF(M41="","",IF(S41="","",IF(M41&gt;3,R35,IF(S41&gt;3,M35,""))))</f>
        <v>STBB</v>
      </c>
      <c r="N51" s="290"/>
      <c r="O51" s="291"/>
      <c r="P51" s="266"/>
      <c r="Q51" s="256"/>
    </row>
    <row r="52" spans="6:17" s="25" customFormat="1" ht="22.05" customHeight="1" outlineLevel="1">
      <c r="F52" s="256"/>
      <c r="G52" s="257"/>
      <c r="H52" s="270" t="s">
        <v>65</v>
      </c>
      <c r="I52" s="271"/>
      <c r="J52" s="272"/>
      <c r="K52" s="118">
        <v>21</v>
      </c>
      <c r="L52" s="119">
        <v>22</v>
      </c>
      <c r="M52" s="276" t="str">
        <f>IF(M41="","",IF(S41="","",IF(M41&gt;3,R36,IF(S41&gt;3,M36,""))))</f>
        <v>MARAIS Alexis</v>
      </c>
      <c r="N52" s="277"/>
      <c r="O52" s="278"/>
      <c r="P52" s="266"/>
      <c r="Q52" s="256"/>
    </row>
    <row r="53" spans="6:17" s="25" customFormat="1" ht="22.05" customHeight="1" outlineLevel="1">
      <c r="F53" s="256"/>
      <c r="G53" s="257"/>
      <c r="H53" s="270" t="s">
        <v>66</v>
      </c>
      <c r="I53" s="271"/>
      <c r="J53" s="272"/>
      <c r="K53" s="120">
        <v>23</v>
      </c>
      <c r="L53" s="121">
        <v>24</v>
      </c>
      <c r="M53" s="276" t="str">
        <f>IF(M41="","",IF(S41="","",IF(M41&gt;3,R37,IF(S41&gt;3,M37,""))))</f>
        <v>LACROIX Lauriane</v>
      </c>
      <c r="N53" s="277"/>
      <c r="O53" s="278"/>
      <c r="P53" s="266"/>
      <c r="Q53" s="256"/>
    </row>
    <row r="54" spans="6:17" s="25" customFormat="1" ht="22.05" customHeight="1" outlineLevel="1">
      <c r="F54" s="256"/>
      <c r="G54" s="257"/>
      <c r="H54" s="270" t="s">
        <v>112</v>
      </c>
      <c r="I54" s="271"/>
      <c r="J54" s="272"/>
      <c r="K54" s="120">
        <v>25</v>
      </c>
      <c r="L54" s="121">
        <v>26</v>
      </c>
      <c r="M54" s="276" t="str">
        <f>IF(M41="","",IF(S41="","",IF(M41&gt;3,R38,IF(S41&gt;3,M38,""))))</f>
        <v>DHONT Hugo</v>
      </c>
      <c r="N54" s="277"/>
      <c r="O54" s="278"/>
      <c r="P54" s="266"/>
      <c r="Q54" s="256"/>
    </row>
    <row r="55" spans="6:17" s="25" customFormat="1" ht="22.05" customHeight="1" outlineLevel="1">
      <c r="F55" s="256"/>
      <c r="G55" s="257"/>
      <c r="H55" s="270" t="s">
        <v>113</v>
      </c>
      <c r="I55" s="271"/>
      <c r="J55" s="272"/>
      <c r="K55" s="120">
        <v>27</v>
      </c>
      <c r="L55" s="121">
        <v>28</v>
      </c>
      <c r="M55" s="276" t="str">
        <f>IF(M41="","",IF(S41="","",IF(M41&gt;3,R39,IF(S41&gt;3,M39,""))))</f>
        <v>VENET Léna</v>
      </c>
      <c r="N55" s="277"/>
      <c r="O55" s="278"/>
      <c r="P55" s="266"/>
      <c r="Q55" s="256"/>
    </row>
    <row r="56" spans="6:17" s="25" customFormat="1" ht="22.05" customHeight="1" outlineLevel="1" thickBot="1">
      <c r="F56" s="256"/>
      <c r="G56" s="257"/>
      <c r="H56" s="270" t="s">
        <v>99</v>
      </c>
      <c r="I56" s="271"/>
      <c r="J56" s="272"/>
      <c r="K56" s="122">
        <v>29</v>
      </c>
      <c r="L56" s="123">
        <v>30</v>
      </c>
      <c r="M56" s="276" t="str">
        <f>IF(M41="","",IF(S41="","",IF(M41&gt;3,R40,IF(S41&gt;3,M40,""))))</f>
        <v>VENET Eric</v>
      </c>
      <c r="N56" s="277"/>
      <c r="O56" s="278"/>
      <c r="P56" s="266"/>
      <c r="Q56" s="256"/>
    </row>
    <row r="57" spans="6:17" ht="22.05" customHeight="1">
      <c r="G57" s="26" t="str">
        <f>IF(J57="","",IF(J57&gt;2,1,0))</f>
        <v/>
      </c>
      <c r="H57" s="262">
        <f>J57+J58+J59+J60+J61+J62+J63</f>
        <v>3</v>
      </c>
      <c r="I57" s="263"/>
      <c r="J57" s="58"/>
      <c r="K57" s="267"/>
      <c r="L57" s="268"/>
      <c r="M57" s="58">
        <v>1</v>
      </c>
      <c r="N57" s="262">
        <f>M57+M58+M59+M60+M61+M62+M63</f>
        <v>4</v>
      </c>
      <c r="O57" s="263"/>
      <c r="P57" s="44">
        <f>IF(M57="","",IF(M57&gt;2,1,0))</f>
        <v>0</v>
      </c>
    </row>
    <row r="58" spans="6:17" ht="22.05" customHeight="1">
      <c r="G58" s="26">
        <f t="shared" ref="G58:G63" si="12">IF(J58="","",IF(J58&gt;2,1,0))</f>
        <v>0</v>
      </c>
      <c r="H58" s="264"/>
      <c r="I58" s="265"/>
      <c r="J58" s="59">
        <v>1</v>
      </c>
      <c r="K58" s="258"/>
      <c r="L58" s="259"/>
      <c r="M58" s="59"/>
      <c r="N58" s="264"/>
      <c r="O58" s="265"/>
      <c r="P58" s="44" t="str">
        <f t="shared" ref="P58:P63" si="13">IF(M58="","",IF(M58&gt;2,1,0))</f>
        <v/>
      </c>
    </row>
    <row r="59" spans="6:17" ht="22.05" customHeight="1">
      <c r="G59" s="26">
        <f t="shared" si="12"/>
        <v>0</v>
      </c>
      <c r="H59" s="264"/>
      <c r="I59" s="265"/>
      <c r="J59" s="59">
        <v>1</v>
      </c>
      <c r="K59" s="258"/>
      <c r="L59" s="259"/>
      <c r="M59" s="59"/>
      <c r="N59" s="264"/>
      <c r="O59" s="265"/>
      <c r="P59" s="44" t="str">
        <f t="shared" si="13"/>
        <v/>
      </c>
    </row>
    <row r="60" spans="6:17" ht="22.05" customHeight="1">
      <c r="G60" s="26" t="str">
        <f t="shared" si="12"/>
        <v/>
      </c>
      <c r="H60" s="264"/>
      <c r="I60" s="265"/>
      <c r="J60" s="59"/>
      <c r="K60" s="258"/>
      <c r="L60" s="259"/>
      <c r="M60" s="59">
        <v>1</v>
      </c>
      <c r="N60" s="264"/>
      <c r="O60" s="265"/>
      <c r="P60" s="44">
        <f t="shared" si="13"/>
        <v>0</v>
      </c>
    </row>
    <row r="61" spans="6:17" ht="22.05" customHeight="1">
      <c r="G61" s="26" t="str">
        <f t="shared" si="12"/>
        <v/>
      </c>
      <c r="H61" s="264"/>
      <c r="I61" s="265"/>
      <c r="J61" s="59"/>
      <c r="K61" s="258"/>
      <c r="L61" s="259"/>
      <c r="M61" s="59">
        <v>1</v>
      </c>
      <c r="N61" s="264"/>
      <c r="O61" s="265"/>
      <c r="P61" s="44">
        <f t="shared" si="13"/>
        <v>0</v>
      </c>
    </row>
    <row r="62" spans="6:17" ht="22.05" customHeight="1">
      <c r="G62" s="26">
        <f t="shared" si="12"/>
        <v>0</v>
      </c>
      <c r="H62" s="264"/>
      <c r="I62" s="265"/>
      <c r="J62" s="59">
        <v>1</v>
      </c>
      <c r="K62" s="258"/>
      <c r="L62" s="259"/>
      <c r="M62" s="59"/>
      <c r="N62" s="264"/>
      <c r="O62" s="265"/>
      <c r="P62" s="44" t="str">
        <f t="shared" si="13"/>
        <v/>
      </c>
    </row>
    <row r="63" spans="6:17" ht="22.05" customHeight="1" thickBot="1">
      <c r="G63" s="26" t="str">
        <f t="shared" si="12"/>
        <v/>
      </c>
      <c r="H63" s="264"/>
      <c r="I63" s="265"/>
      <c r="J63" s="60"/>
      <c r="K63" s="258"/>
      <c r="L63" s="259"/>
      <c r="M63" s="60">
        <v>1</v>
      </c>
      <c r="N63" s="264"/>
      <c r="O63" s="265"/>
      <c r="P63" s="44">
        <f t="shared" si="13"/>
        <v>0</v>
      </c>
    </row>
    <row r="64" spans="6:17" ht="60" customHeight="1" thickBot="1">
      <c r="G64" s="43"/>
      <c r="H64" s="282" t="s">
        <v>12</v>
      </c>
      <c r="I64" s="282"/>
      <c r="J64" s="282"/>
      <c r="K64" s="282"/>
      <c r="L64" s="282"/>
      <c r="M64" s="282"/>
      <c r="N64" s="282"/>
      <c r="O64" s="282"/>
    </row>
    <row r="65" spans="6:17" ht="28.05" customHeight="1" thickBot="1">
      <c r="F65" s="256"/>
      <c r="G65" s="257"/>
      <c r="H65" s="273" t="s">
        <v>80</v>
      </c>
      <c r="I65" s="274"/>
      <c r="J65" s="275"/>
      <c r="K65" s="260" t="s">
        <v>45</v>
      </c>
      <c r="L65" s="261"/>
      <c r="M65" s="273" t="str">
        <f>IF(M35="",R35,IF(M41="","",IF(S41="","",IF(M41&gt;3,M35,IF(S41&gt;3,R35,"")))))</f>
        <v>STSM</v>
      </c>
      <c r="N65" s="274"/>
      <c r="O65" s="275"/>
      <c r="P65" s="266"/>
      <c r="Q65" s="256"/>
    </row>
    <row r="66" spans="6:17" ht="22.05" customHeight="1" outlineLevel="1">
      <c r="F66" s="256"/>
      <c r="G66" s="257"/>
      <c r="H66" s="279" t="s">
        <v>114</v>
      </c>
      <c r="I66" s="280"/>
      <c r="J66" s="281"/>
      <c r="K66" s="124">
        <v>31</v>
      </c>
      <c r="L66" s="125">
        <v>32</v>
      </c>
      <c r="M66" s="279" t="str">
        <f>IF(M36="",R36,IF(M41="","",IF(S41="","",IF(M41&gt;3,M36,IF(S41&gt;3,R36,"")))))</f>
        <v>Steiner Julien</v>
      </c>
      <c r="N66" s="280"/>
      <c r="O66" s="281"/>
      <c r="P66" s="266"/>
      <c r="Q66" s="256"/>
    </row>
    <row r="67" spans="6:17" ht="22.05" customHeight="1" outlineLevel="1">
      <c r="F67" s="256"/>
      <c r="G67" s="257"/>
      <c r="H67" s="279" t="s">
        <v>97</v>
      </c>
      <c r="I67" s="280"/>
      <c r="J67" s="281"/>
      <c r="K67" s="126">
        <v>33</v>
      </c>
      <c r="L67" s="127">
        <v>34</v>
      </c>
      <c r="M67" s="279" t="str">
        <f>IF(M37="",R37,IF(M41="","",IF(S41="","",IF(M41&gt;3,M37,IF(S41&gt;3,R37,"")))))</f>
        <v>POPIER Théo</v>
      </c>
      <c r="N67" s="280"/>
      <c r="O67" s="281"/>
      <c r="P67" s="266"/>
      <c r="Q67" s="256"/>
    </row>
    <row r="68" spans="6:17" ht="22.05" customHeight="1" outlineLevel="1">
      <c r="F68" s="256"/>
      <c r="G68" s="257"/>
      <c r="H68" s="279" t="s">
        <v>90</v>
      </c>
      <c r="I68" s="280"/>
      <c r="J68" s="281"/>
      <c r="K68" s="126">
        <v>35</v>
      </c>
      <c r="L68" s="127">
        <v>36</v>
      </c>
      <c r="M68" s="279" t="str">
        <f>IF(M38="",R38,IF(M41="","",IF(S41="","",IF(M41&gt;3,M38,IF(S41&gt;3,R38,"")))))</f>
        <v>JACQUETIN Olivier</v>
      </c>
      <c r="N68" s="280"/>
      <c r="O68" s="281"/>
      <c r="P68" s="266"/>
      <c r="Q68" s="256"/>
    </row>
    <row r="69" spans="6:17" ht="22.05" customHeight="1" outlineLevel="1">
      <c r="F69" s="256"/>
      <c r="G69" s="257"/>
      <c r="H69" s="279" t="s">
        <v>81</v>
      </c>
      <c r="I69" s="280"/>
      <c r="J69" s="281"/>
      <c r="K69" s="126">
        <v>37</v>
      </c>
      <c r="L69" s="127">
        <v>38</v>
      </c>
      <c r="M69" s="279" t="str">
        <f>IF(M39="",R39,IF(M41="","",IF(S41="","",IF(M41&gt;3,M39,IF(S41&gt;3,R39,"")))))</f>
        <v>DURAND Juliette</v>
      </c>
      <c r="N69" s="280"/>
      <c r="O69" s="281"/>
      <c r="P69" s="266"/>
      <c r="Q69" s="256"/>
    </row>
    <row r="70" spans="6:17" ht="22.05" customHeight="1" outlineLevel="1" thickBot="1">
      <c r="F70" s="256"/>
      <c r="G70" s="257"/>
      <c r="H70" s="279" t="s">
        <v>98</v>
      </c>
      <c r="I70" s="280"/>
      <c r="J70" s="281"/>
      <c r="K70" s="128">
        <v>39</v>
      </c>
      <c r="L70" s="129">
        <v>40</v>
      </c>
      <c r="M70" s="279" t="str">
        <f>IF(M40="",R40,IF(M41="","",IF(S41="","",IF(M41&gt;3,M40,IF(S41&gt;3,R40,"")))))</f>
        <v>BERLANDE juliane</v>
      </c>
      <c r="N70" s="280"/>
      <c r="O70" s="281"/>
      <c r="P70" s="266"/>
      <c r="Q70" s="256"/>
    </row>
    <row r="71" spans="6:17" ht="22.05" customHeight="1">
      <c r="G71" s="26">
        <f>IF(J71="","",IF(J71&gt;2,1,0))</f>
        <v>0</v>
      </c>
      <c r="H71" s="262">
        <f>J71+J72+J73+J74+J75+J76+J77</f>
        <v>4</v>
      </c>
      <c r="I71" s="263"/>
      <c r="J71" s="58">
        <v>1</v>
      </c>
      <c r="K71" s="267"/>
      <c r="L71" s="268"/>
      <c r="M71" s="58"/>
      <c r="N71" s="262">
        <f>M71+M72+M73+M74+M75+M76+M77</f>
        <v>0</v>
      </c>
      <c r="O71" s="263"/>
      <c r="P71" s="44" t="str">
        <f>IF(M71="","",IF(M71&gt;2,1,0))</f>
        <v/>
      </c>
    </row>
    <row r="72" spans="6:17" ht="22.05" customHeight="1">
      <c r="G72" s="26">
        <f t="shared" ref="G72:G77" si="14">IF(J72="","",IF(J72&gt;2,1,0))</f>
        <v>0</v>
      </c>
      <c r="H72" s="264"/>
      <c r="I72" s="265"/>
      <c r="J72" s="59">
        <v>1</v>
      </c>
      <c r="K72" s="258"/>
      <c r="L72" s="259"/>
      <c r="M72" s="59"/>
      <c r="N72" s="264"/>
      <c r="O72" s="265"/>
      <c r="P72" s="44" t="str">
        <f t="shared" ref="P72:P77" si="15">IF(M72="","",IF(M72&gt;2,1,0))</f>
        <v/>
      </c>
    </row>
    <row r="73" spans="6:17" ht="22.05" customHeight="1">
      <c r="G73" s="26">
        <f t="shared" si="14"/>
        <v>0</v>
      </c>
      <c r="H73" s="264"/>
      <c r="I73" s="265"/>
      <c r="J73" s="59">
        <v>1</v>
      </c>
      <c r="K73" s="258"/>
      <c r="L73" s="259"/>
      <c r="M73" s="59"/>
      <c r="N73" s="264"/>
      <c r="O73" s="265"/>
      <c r="P73" s="44" t="str">
        <f t="shared" si="15"/>
        <v/>
      </c>
    </row>
    <row r="74" spans="6:17" ht="22.05" customHeight="1">
      <c r="G74" s="26">
        <f t="shared" si="14"/>
        <v>0</v>
      </c>
      <c r="H74" s="264"/>
      <c r="I74" s="265"/>
      <c r="J74" s="59">
        <v>1</v>
      </c>
      <c r="K74" s="258"/>
      <c r="L74" s="259"/>
      <c r="M74" s="59"/>
      <c r="N74" s="264"/>
      <c r="O74" s="265"/>
      <c r="P74" s="44" t="str">
        <f t="shared" si="15"/>
        <v/>
      </c>
    </row>
    <row r="75" spans="6:17" ht="22.05" customHeight="1">
      <c r="G75" s="26" t="str">
        <f t="shared" si="14"/>
        <v/>
      </c>
      <c r="H75" s="264"/>
      <c r="I75" s="265"/>
      <c r="J75" s="59"/>
      <c r="K75" s="258"/>
      <c r="L75" s="259"/>
      <c r="M75" s="59"/>
      <c r="N75" s="264"/>
      <c r="O75" s="265"/>
      <c r="P75" s="44" t="str">
        <f t="shared" si="15"/>
        <v/>
      </c>
    </row>
    <row r="76" spans="6:17" ht="22.05" customHeight="1">
      <c r="G76" s="26" t="str">
        <f t="shared" si="14"/>
        <v/>
      </c>
      <c r="H76" s="264"/>
      <c r="I76" s="265"/>
      <c r="J76" s="59"/>
      <c r="K76" s="258"/>
      <c r="L76" s="259"/>
      <c r="M76" s="59"/>
      <c r="N76" s="264"/>
      <c r="O76" s="265"/>
      <c r="P76" s="44" t="str">
        <f t="shared" si="15"/>
        <v/>
      </c>
    </row>
    <row r="77" spans="6:17" ht="22.05" customHeight="1" thickBot="1">
      <c r="G77" s="26" t="str">
        <f t="shared" si="14"/>
        <v/>
      </c>
      <c r="H77" s="264"/>
      <c r="I77" s="265"/>
      <c r="J77" s="60"/>
      <c r="K77" s="258"/>
      <c r="L77" s="259"/>
      <c r="M77" s="60"/>
      <c r="N77" s="264"/>
      <c r="O77" s="265"/>
      <c r="P77" s="44" t="str">
        <f t="shared" si="15"/>
        <v/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61" priority="48" stopIfTrue="1" operator="equal">
      <formula>"1"</formula>
    </cfRule>
    <cfRule type="cellIs" dxfId="60" priority="49" stopIfTrue="1" operator="equal">
      <formula>"2"</formula>
    </cfRule>
  </conditionalFormatting>
  <conditionalFormatting sqref="P51:P56 F51:F56">
    <cfRule type="cellIs" dxfId="59" priority="50" stopIfTrue="1" operator="equal">
      <formula>"3"</formula>
    </cfRule>
  </conditionalFormatting>
  <conditionalFormatting sqref="E41:E47 H41:H47 O41:O47 R41:R47">
    <cfRule type="cellIs" dxfId="58" priority="51" stopIfTrue="1" operator="greaterThanOrEqual">
      <formula>3</formula>
    </cfRule>
  </conditionalFormatting>
  <conditionalFormatting sqref="O11:O17 R11:R17 E11:E17 H11:H17 E25:E31 H25:H31 O25:O31 R25:R31">
    <cfRule type="cellIs" dxfId="57" priority="53" stopIfTrue="1" operator="greaterThanOrEqual">
      <formula>3</formula>
    </cfRule>
  </conditionalFormatting>
  <conditionalFormatting sqref="C11:D17">
    <cfRule type="cellIs" dxfId="56" priority="55" stopIfTrue="1" operator="greaterThanOrEqual">
      <formula>4</formula>
    </cfRule>
    <cfRule type="cellIs" dxfId="55" priority="56" stopIfTrue="1" operator="equal">
      <formula>0</formula>
    </cfRule>
  </conditionalFormatting>
  <conditionalFormatting sqref="S11:T17 I11:J17 I25:J31 S25:T31 S41:T47 N57:O63 N71:O77 I41:J47">
    <cfRule type="cellIs" dxfId="54" priority="57" stopIfTrue="1" operator="greaterThanOrEqual">
      <formula>4</formula>
    </cfRule>
    <cfRule type="cellIs" dxfId="53" priority="58" stopIfTrue="1" operator="equal">
      <formula>0</formula>
    </cfRule>
  </conditionalFormatting>
  <conditionalFormatting sqref="M11:N17 C25:D31 C41:D47 M25:N31 M41:N47 H57:I63 H71:I77">
    <cfRule type="cellIs" dxfId="52" priority="59" stopIfTrue="1" operator="greaterThanOrEqual">
      <formula>4</formula>
    </cfRule>
    <cfRule type="cellIs" dxfId="51" priority="60" stopIfTrue="1" operator="equal">
      <formula>0</formula>
    </cfRule>
  </conditionalFormatting>
  <conditionalFormatting sqref="A1:XFD3 A4 V4:XFD4 A5:XFD1048576">
    <cfRule type="containsErrors" dxfId="50" priority="47">
      <formula>ISERROR(A1)</formula>
    </cfRule>
  </conditionalFormatting>
  <conditionalFormatting sqref="M51:O56 M35:O40 H35:J40 C35:E40 H65:J70 M65:O70 M19:O24 R19:T24 H19:J24 C19:E24 H5:J10 C5:E10 M5:O10 R35:T40 H51:J56">
    <cfRule type="containsBlanks" dxfId="49" priority="45">
      <formula>LEN(TRIM(C5))=0</formula>
    </cfRule>
    <cfRule type="cellIs" dxfId="48" priority="46" operator="equal">
      <formula>0</formula>
    </cfRule>
  </conditionalFormatting>
  <conditionalFormatting sqref="R5:T10">
    <cfRule type="containsBlanks" dxfId="47" priority="43">
      <formula>LEN(TRIM(R5))=0</formula>
    </cfRule>
    <cfRule type="cellIs" dxfId="46" priority="44" operator="equal">
      <formula>0</formula>
    </cfRule>
  </conditionalFormatting>
  <conditionalFormatting sqref="J57:J63 M57:M63">
    <cfRule type="cellIs" dxfId="45" priority="42" operator="greaterThanOrEqual">
      <formula>3</formula>
    </cfRule>
  </conditionalFormatting>
  <conditionalFormatting sqref="J71:J77 M71:M77">
    <cfRule type="cellIs" dxfId="44" priority="41" operator="greaterThanOrEqual">
      <formula>3</formula>
    </cfRule>
  </conditionalFormatting>
  <conditionalFormatting sqref="M11:N17">
    <cfRule type="cellIs" dxfId="43" priority="39" stopIfTrue="1" operator="greaterThanOrEqual">
      <formula>4</formula>
    </cfRule>
    <cfRule type="cellIs" dxfId="42" priority="40" stopIfTrue="1" operator="equal">
      <formula>0</formula>
    </cfRule>
  </conditionalFormatting>
  <conditionalFormatting sqref="C11:D17">
    <cfRule type="cellIs" dxfId="41" priority="37" stopIfTrue="1" operator="greaterThanOrEqual">
      <formula>4</formula>
    </cfRule>
    <cfRule type="cellIs" dxfId="40" priority="38" stopIfTrue="1" operator="equal">
      <formula>0</formula>
    </cfRule>
  </conditionalFormatting>
  <conditionalFormatting sqref="C11:D17">
    <cfRule type="cellIs" dxfId="39" priority="35" stopIfTrue="1" operator="greaterThanOrEqual">
      <formula>4</formula>
    </cfRule>
    <cfRule type="cellIs" dxfId="38" priority="36" stopIfTrue="1" operator="equal">
      <formula>0</formula>
    </cfRule>
  </conditionalFormatting>
  <conditionalFormatting sqref="M25:N31">
    <cfRule type="cellIs" dxfId="37" priority="33" stopIfTrue="1" operator="greaterThanOrEqual">
      <formula>4</formula>
    </cfRule>
    <cfRule type="cellIs" dxfId="36" priority="34" stopIfTrue="1" operator="equal">
      <formula>0</formula>
    </cfRule>
  </conditionalFormatting>
  <conditionalFormatting sqref="C25:D31">
    <cfRule type="cellIs" dxfId="35" priority="31" stopIfTrue="1" operator="greaterThanOrEqual">
      <formula>4</formula>
    </cfRule>
    <cfRule type="cellIs" dxfId="34" priority="32" stopIfTrue="1" operator="equal">
      <formula>0</formula>
    </cfRule>
  </conditionalFormatting>
  <conditionalFormatting sqref="E41:E47 H41:H47">
    <cfRule type="cellIs" dxfId="33" priority="30" stopIfTrue="1" operator="greaterThanOrEqual">
      <formula>3</formula>
    </cfRule>
  </conditionalFormatting>
  <conditionalFormatting sqref="C41:D47">
    <cfRule type="cellIs" dxfId="32" priority="28" stopIfTrue="1" operator="greaterThanOrEqual">
      <formula>4</formula>
    </cfRule>
    <cfRule type="cellIs" dxfId="31" priority="29" stopIfTrue="1" operator="equal">
      <formula>0</formula>
    </cfRule>
  </conditionalFormatting>
  <conditionalFormatting sqref="O41:O47 R41:R47">
    <cfRule type="cellIs" dxfId="30" priority="27" stopIfTrue="1" operator="greaterThanOrEqual">
      <formula>3</formula>
    </cfRule>
  </conditionalFormatting>
  <conditionalFormatting sqref="M41:N47">
    <cfRule type="cellIs" dxfId="29" priority="25" stopIfTrue="1" operator="greaterThanOrEqual">
      <formula>4</formula>
    </cfRule>
    <cfRule type="cellIs" dxfId="28" priority="26" stopIfTrue="1" operator="equal">
      <formula>0</formula>
    </cfRule>
  </conditionalFormatting>
  <conditionalFormatting sqref="M25:N31">
    <cfRule type="cellIs" dxfId="27" priority="23" stopIfTrue="1" operator="greaterThanOrEqual">
      <formula>4</formula>
    </cfRule>
    <cfRule type="cellIs" dxfId="26" priority="24" stopIfTrue="1" operator="equal">
      <formula>0</formula>
    </cfRule>
  </conditionalFormatting>
  <conditionalFormatting sqref="O41:O47 R41:R47">
    <cfRule type="cellIs" dxfId="25" priority="22" stopIfTrue="1" operator="greaterThanOrEqual">
      <formula>3</formula>
    </cfRule>
  </conditionalFormatting>
  <conditionalFormatting sqref="M41:N47">
    <cfRule type="cellIs" dxfId="24" priority="20" stopIfTrue="1" operator="greaterThanOrEqual">
      <formula>4</formula>
    </cfRule>
    <cfRule type="cellIs" dxfId="23" priority="21" stopIfTrue="1" operator="equal">
      <formula>0</formula>
    </cfRule>
  </conditionalFormatting>
  <conditionalFormatting sqref="J57:J63 M57:M63">
    <cfRule type="cellIs" dxfId="22" priority="19" stopIfTrue="1" operator="greaterThanOrEqual">
      <formula>3</formula>
    </cfRule>
  </conditionalFormatting>
  <conditionalFormatting sqref="J57:J63 M57:M63">
    <cfRule type="cellIs" dxfId="21" priority="18" stopIfTrue="1" operator="greaterThanOrEqual">
      <formula>3</formula>
    </cfRule>
  </conditionalFormatting>
  <conditionalFormatting sqref="H57:I63">
    <cfRule type="cellIs" dxfId="20" priority="16" stopIfTrue="1" operator="greaterThanOrEqual">
      <formula>4</formula>
    </cfRule>
    <cfRule type="cellIs" dxfId="19" priority="17" stopIfTrue="1" operator="equal">
      <formula>0</formula>
    </cfRule>
  </conditionalFormatting>
  <conditionalFormatting sqref="J57:J63 M57:M63">
    <cfRule type="cellIs" dxfId="18" priority="15" stopIfTrue="1" operator="greaterThanOrEqual">
      <formula>3</formula>
    </cfRule>
  </conditionalFormatting>
  <conditionalFormatting sqref="J57:J63 M57:M63">
    <cfRule type="cellIs" dxfId="17" priority="14" stopIfTrue="1" operator="greaterThanOrEqual">
      <formula>3</formula>
    </cfRule>
  </conditionalFormatting>
  <conditionalFormatting sqref="H57:I63">
    <cfRule type="cellIs" dxfId="16" priority="12" stopIfTrue="1" operator="greaterThanOrEqual">
      <formula>4</formula>
    </cfRule>
    <cfRule type="cellIs" dxfId="15" priority="13" stopIfTrue="1" operator="equal">
      <formula>0</formula>
    </cfRule>
  </conditionalFormatting>
  <conditionalFormatting sqref="J57:J63 M57:M63">
    <cfRule type="cellIs" dxfId="14" priority="11" stopIfTrue="1" operator="greaterThanOrEqual">
      <formula>3</formula>
    </cfRule>
  </conditionalFormatting>
  <conditionalFormatting sqref="H57:I63">
    <cfRule type="cellIs" dxfId="13" priority="9" stopIfTrue="1" operator="greaterThanOrEqual">
      <formula>4</formula>
    </cfRule>
    <cfRule type="cellIs" dxfId="12" priority="10" stopIfTrue="1" operator="equal">
      <formula>0</formula>
    </cfRule>
  </conditionalFormatting>
  <conditionalFormatting sqref="J71:J77 M71:M77">
    <cfRule type="cellIs" dxfId="11" priority="8" stopIfTrue="1" operator="greaterThanOrEqual">
      <formula>3</formula>
    </cfRule>
  </conditionalFormatting>
  <conditionalFormatting sqref="J71:J77 M71:M77">
    <cfRule type="cellIs" dxfId="10" priority="7" stopIfTrue="1" operator="greaterThanOrEqual">
      <formula>3</formula>
    </cfRule>
  </conditionalFormatting>
  <conditionalFormatting sqref="H71:I77">
    <cfRule type="cellIs" dxfId="9" priority="5" stopIfTrue="1" operator="greaterThanOrEqual">
      <formula>4</formula>
    </cfRule>
    <cfRule type="cellIs" dxfId="8" priority="6" stopIfTrue="1" operator="equal">
      <formula>0</formula>
    </cfRule>
  </conditionalFormatting>
  <conditionalFormatting sqref="J71:J77 M71:M77">
    <cfRule type="cellIs" dxfId="7" priority="4" stopIfTrue="1" operator="greaterThanOrEqual">
      <formula>3</formula>
    </cfRule>
  </conditionalFormatting>
  <conditionalFormatting sqref="H71:I77">
    <cfRule type="cellIs" dxfId="6" priority="2" stopIfTrue="1" operator="greaterThanOrEqual">
      <formula>4</formula>
    </cfRule>
    <cfRule type="cellIs" dxfId="5" priority="3" stopIfTrue="1" operator="equal">
      <formula>0</formula>
    </cfRule>
  </conditionalFormatting>
  <conditionalFormatting sqref="H41:H47">
    <cfRule type="cellIs" dxfId="4" priority="1" stopIfTrue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0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activeCell="C13" sqref="C13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53" t="str">
        <f>CONCATENATE("PALMARES","  ",INFO!B6,"
","CHAMPIONNAT DE FRANCE DES CLUBS","
","10 METRES")</f>
        <v>PALMARES  2022/2023
CHAMPIONNAT DE FRANCE DES CLUBS
10 METRES</v>
      </c>
      <c r="B1" s="253"/>
      <c r="C1" s="253"/>
      <c r="D1" s="253"/>
      <c r="E1" s="253"/>
      <c r="F1" s="253"/>
      <c r="G1" s="253"/>
      <c r="H1" s="253"/>
      <c r="I1" s="19"/>
      <c r="J1" s="19"/>
      <c r="K1" s="13"/>
      <c r="L1" s="13"/>
      <c r="M1" s="13"/>
      <c r="N1" s="13"/>
      <c r="O1" s="3"/>
      <c r="P1" s="3"/>
    </row>
    <row r="2" spans="1:17" ht="40.049999999999997" customHeight="1">
      <c r="A2" s="253"/>
      <c r="B2" s="253"/>
      <c r="C2" s="253"/>
      <c r="D2" s="253"/>
      <c r="E2" s="253"/>
      <c r="F2" s="253"/>
      <c r="G2" s="253"/>
      <c r="H2" s="253"/>
      <c r="I2" s="19"/>
      <c r="J2" s="19"/>
      <c r="K2" s="13"/>
      <c r="L2" s="13"/>
      <c r="M2" s="13"/>
      <c r="N2" s="13"/>
      <c r="O2" s="4"/>
      <c r="P2" s="4"/>
    </row>
    <row r="3" spans="1:17" ht="40.049999999999997" customHeight="1">
      <c r="A3" s="296"/>
      <c r="B3" s="296"/>
      <c r="C3" s="296"/>
      <c r="D3" s="296"/>
      <c r="E3" s="296"/>
      <c r="F3" s="296"/>
      <c r="G3" s="296"/>
      <c r="H3" s="296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7" t="str">
        <f>CONCATENATE(INFO!B7,"   ",INFO!B9)</f>
        <v>CARABINE   LYONNAIS</v>
      </c>
      <c r="B4" s="297"/>
      <c r="C4" s="297"/>
      <c r="D4" s="297"/>
      <c r="E4" s="297"/>
      <c r="F4" s="297"/>
      <c r="G4" s="297"/>
      <c r="H4" s="297"/>
      <c r="I4" s="20"/>
      <c r="J4" s="20"/>
      <c r="K4" s="13"/>
      <c r="P4" s="16"/>
      <c r="Q4" s="17"/>
    </row>
    <row r="5" spans="1:17" s="14" customFormat="1" ht="22.95" customHeight="1">
      <c r="A5" s="302"/>
      <c r="B5" s="302"/>
      <c r="C5" s="302"/>
      <c r="D5" s="302"/>
      <c r="E5" s="302"/>
      <c r="F5" s="302"/>
      <c r="G5" s="302"/>
      <c r="H5" s="302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SEST</v>
      </c>
      <c r="C8" s="39"/>
      <c r="D8" s="40">
        <f>IF(A8="","",IF(B8="","",VLOOKUP(B8,'M Q'!B$7:AI$14,2,0)))</f>
        <v>1342110</v>
      </c>
      <c r="E8" s="190">
        <f>IF(A8="","",IF(B8="","",VLOOKUP(B8,'M Q'!B$7:AI$14,33,0)))</f>
        <v>1467.6999999999998</v>
      </c>
      <c r="F8" s="49">
        <f>IF(A8="","",IF(B8="","",VLOOKUP(B8,'M Q'!B$7:AI$14,34,0)))</f>
        <v>0</v>
      </c>
      <c r="G8" s="300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">
        <v>82</v>
      </c>
      <c r="C9" s="39"/>
      <c r="D9" s="40">
        <f>IF(A9="","",IF(B9="","",VLOOKUP(B9,'M Q'!B$7:AI$14,2,0)))</f>
        <v>1342127</v>
      </c>
      <c r="E9" s="190">
        <f>IF(A9="","",IF(B9="","",VLOOKUP(B9,'M Q'!B$7:AI$14,33,0)))</f>
        <v>1402.3999999999999</v>
      </c>
      <c r="F9" s="49">
        <f>IF(A9="","",IF(B9="","",VLOOKUP(B9,'M Q'!B$7:AI$14,34,0)))</f>
        <v>0</v>
      </c>
      <c r="G9" s="300"/>
      <c r="H9" s="16"/>
      <c r="I9" s="15"/>
      <c r="J9" s="15"/>
      <c r="K9" s="15"/>
    </row>
    <row r="10" spans="1:17" s="14" customFormat="1" ht="61.95" customHeight="1">
      <c r="A10" s="28">
        <f>IF(INFO!B8&gt;2,3,"")</f>
        <v>3</v>
      </c>
      <c r="B10" s="27" t="s">
        <v>67</v>
      </c>
      <c r="C10" s="27"/>
      <c r="D10" s="40">
        <f>IF(A10="","",IF(B10="","",VLOOKUP(B10,'M Q'!B$7:AI$14,2,0)))</f>
        <v>1301117</v>
      </c>
      <c r="E10" s="190">
        <f>IF(A10="","",IF(B10="","",VLOOKUP(B10,'M Q'!B$7:AI$14,33,0)))</f>
        <v>1397.8000000000002</v>
      </c>
      <c r="F10" s="49">
        <f>IF(A10="","",IF(B10="","",VLOOKUP(B10,'M Q'!B$7:AI$14,34,0)))</f>
        <v>0</v>
      </c>
      <c r="G10" s="301" t="s">
        <v>32</v>
      </c>
      <c r="H10" s="15"/>
      <c r="K10" s="15"/>
    </row>
    <row r="11" spans="1:17" s="14" customFormat="1" ht="61.95" customHeight="1">
      <c r="A11" s="28">
        <f>IF(INFO!B8&gt;3,4,"")</f>
        <v>4</v>
      </c>
      <c r="B11" s="27" t="str">
        <f>IF(A11="","",IF(P.F.!M57="","",IF(P.F.!H57&gt;3,P.F.!M51,IF(P.F.!N57&gt;3,P.F.!H51,""))))</f>
        <v>CTB</v>
      </c>
      <c r="C11" s="27"/>
      <c r="D11" s="40">
        <f>IF(A11="","",IF(B11="","",VLOOKUP(B11,'M Q'!B$7:AI$14,2,0)))</f>
        <v>1369050</v>
      </c>
      <c r="E11" s="190">
        <f>IF(A11="","",IF(B11="","",VLOOKUP(B11,'M Q'!B$7:AI$14,33,0)))</f>
        <v>1390.9</v>
      </c>
      <c r="F11" s="49">
        <f>IF(A11="","",IF(B11="","",VLOOKUP(B11,'M Q'!B$7:AI$14,34,0)))</f>
        <v>0</v>
      </c>
      <c r="G11" s="301"/>
      <c r="H11" s="15"/>
      <c r="I11" s="15"/>
      <c r="J11" s="298" t="s">
        <v>26</v>
      </c>
      <c r="K11" s="298"/>
      <c r="L11" s="298"/>
      <c r="M11" s="298"/>
    </row>
    <row r="12" spans="1:17" s="14" customFormat="1" ht="61.95" customHeight="1">
      <c r="A12" s="28">
        <f>IF(INFO!B8&gt;4,5,"")</f>
        <v>5</v>
      </c>
      <c r="B12" s="27" t="str">
        <f>IF(A12="","",VLOOKUP(E12,J$12:M$15,3,0))</f>
        <v>USO</v>
      </c>
      <c r="C12" s="27"/>
      <c r="D12" s="41">
        <f>IF(A12="","",VLOOKUP(E12,J$12:M$15,4,0))</f>
        <v>1304080</v>
      </c>
      <c r="E12" s="191">
        <f>IF(A12="","",LARGE(J12:J15,1))</f>
        <v>1329.200000454347</v>
      </c>
      <c r="F12" s="49">
        <f>IF(A12="","",IF(B12="","",VLOOKUP(B12,'M Q'!B$7:AI$14,34,0)))</f>
        <v>0</v>
      </c>
      <c r="G12" s="299" t="s">
        <v>34</v>
      </c>
      <c r="I12" s="15"/>
      <c r="J12" s="189">
        <f>IF(L12="",0,VLOOKUP(L12,saisie!C$7:AL$26,36,0))</f>
        <v>1095.0000003699586</v>
      </c>
      <c r="K12" s="16">
        <f>VLOOKUP(L12,saisie!C$7:AL$26,34,0)</f>
        <v>0</v>
      </c>
      <c r="L12" s="37" t="str">
        <f>IF(P.F.!E11="","",IF(P.F.!C11&gt;3,P.F.!H5,IF(P.F.!I11&gt;3,P.F.!C5,"")))</f>
        <v>CTPS</v>
      </c>
      <c r="M12" s="16">
        <f>VLOOKUP(L12,saisie!C$7:AL$26,2,0)</f>
        <v>1342010</v>
      </c>
    </row>
    <row r="13" spans="1:17" s="14" customFormat="1" ht="61.95" customHeight="1">
      <c r="A13" s="28">
        <f>IF(INFO!B8&gt;5,6,"")</f>
        <v>6</v>
      </c>
      <c r="B13" s="27" t="str">
        <f>IF(A13="","",VLOOKUP(E13,J$12:M$15,3,0))</f>
        <v>CR</v>
      </c>
      <c r="C13" s="27"/>
      <c r="D13" s="41">
        <f>IF(A13="","",VLOOKUP(E13,J$12:M$15,4,0))</f>
        <v>1342055</v>
      </c>
      <c r="E13" s="191">
        <f>IF(A13="","",LARGE(J12:J15,2))</f>
        <v>1254.7000004145143</v>
      </c>
      <c r="F13" s="49">
        <f>IF(A13="","",IF(B13="","",VLOOKUP(B13,'M Q'!B$7:AI$14,34,0)))</f>
        <v>0</v>
      </c>
      <c r="G13" s="299"/>
      <c r="J13" s="189">
        <f>IF(L13="",0,VLOOKUP(L13,saisie!C$7:AL$26,36,0))</f>
        <v>0</v>
      </c>
      <c r="K13" s="16" t="e">
        <f>VLOOKUP(L13,saisie!C$7:AL$26,34,0)</f>
        <v>#N/A</v>
      </c>
      <c r="L13" s="37" t="str">
        <f>IF(P.F.!O11="","",IF(P.F.!M11&gt;3,P.F.!R5,IF(P.F.!S11&gt;3,P.F.!M5,"")))</f>
        <v/>
      </c>
      <c r="M13" s="16" t="e">
        <f>VLOOKUP(L13,saisie!C$7:AL$26,2,0)</f>
        <v>#N/A</v>
      </c>
    </row>
    <row r="14" spans="1:17" s="14" customFormat="1" ht="61.95" customHeight="1">
      <c r="A14" s="29">
        <f>IF(INFO!B8&gt;6,7,"")</f>
        <v>7</v>
      </c>
      <c r="B14" s="27" t="str">
        <f>IF(A14="","",VLOOKUP(E14,J$12:M$15,3,0))</f>
        <v>CTPS</v>
      </c>
      <c r="C14" s="27"/>
      <c r="D14" s="41">
        <f>IF(A14="","",VLOOKUP(E14,J$12:M$15,4,0))</f>
        <v>1342010</v>
      </c>
      <c r="E14" s="191">
        <f>IF(A14="","",LARGE(J12:J15,3))</f>
        <v>1095.0000003699586</v>
      </c>
      <c r="F14" s="49">
        <f>IF(A14="","",IF(B14="","",VLOOKUP(B14,'M Q'!B$7:AI$14,34,0)))</f>
        <v>0</v>
      </c>
      <c r="G14" s="299"/>
      <c r="I14" s="15"/>
      <c r="J14" s="189">
        <f>IF(L14="",0,VLOOKUP(L14,saisie!C$7:AL$26,36,0))</f>
        <v>1329.200000454347</v>
      </c>
      <c r="K14" s="16">
        <f>VLOOKUP(L14,saisie!C$7:AL$26,34,0)</f>
        <v>0</v>
      </c>
      <c r="L14" s="37" t="str">
        <f>IF(P.F.!H25="","",IF(P.F.!C25&gt;3,P.F.!H19,IF(P.F.!I25&gt;3,P.F.!C19,"")))</f>
        <v>USO</v>
      </c>
      <c r="M14" s="16">
        <f>VLOOKUP(L14,saisie!C$7:AL$26,2,0)</f>
        <v>1304080</v>
      </c>
      <c r="O14" s="15"/>
      <c r="P14" s="15"/>
    </row>
    <row r="15" spans="1:17" s="14" customFormat="1" ht="61.95" customHeight="1">
      <c r="A15" s="28">
        <f>IF(INFO!B8&gt;7,8,"")</f>
        <v>8</v>
      </c>
      <c r="B15" s="27" t="str">
        <f>IF(A15="","",VLOOKUP(E15,J$12:M$15,3,0))</f>
        <v/>
      </c>
      <c r="C15" s="27"/>
      <c r="D15" s="41" t="e">
        <f>IF(A15="","",VLOOKUP(E15,J$12:M$15,4,0))</f>
        <v>#N/A</v>
      </c>
      <c r="E15" s="191">
        <f>IF(A15="","",LARGE(J12:J15,4))</f>
        <v>0</v>
      </c>
      <c r="F15" s="49" t="str">
        <f>IF(A15="","",IF(B15="","",VLOOKUP(B15,'M Q'!B$7:AI$14,34,0)))</f>
        <v/>
      </c>
      <c r="G15" s="299"/>
      <c r="I15" s="15"/>
      <c r="J15" s="189">
        <f>IF(L15="",0,VLOOKUP(L15,saisie!C$7:AL$26,36,0))</f>
        <v>1254.7000004145143</v>
      </c>
      <c r="K15" s="16">
        <f>VLOOKUP(L15,saisie!C$7:AL$26,34,0)</f>
        <v>0</v>
      </c>
      <c r="L15" s="37" t="str">
        <f>IF(P.F.!R25="","",IF(P.F.!M25&gt;3,P.F.!R19,IF(P.F.!S25&gt;3,P.F.!M19,"")))</f>
        <v>CR</v>
      </c>
      <c r="M15" s="16">
        <f>VLOOKUP(L15,saisie!C$7:AL$26,2,0)</f>
        <v>1342055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1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1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1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1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1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1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1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1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1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1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1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1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2023-01-28T15:15:07Z</cp:lastPrinted>
  <dcterms:created xsi:type="dcterms:W3CDTF">2004-11-19T11:01:00Z</dcterms:created>
  <dcterms:modified xsi:type="dcterms:W3CDTF">2023-01-29T09:29:42Z</dcterms:modified>
</cp:coreProperties>
</file>